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1. + 2. Durchgang " sheetId="1" r:id="rId1"/>
    <sheet name="3. Durchgang" sheetId="2" r:id="rId2"/>
    <sheet name="4. Durchgang" sheetId="3" r:id="rId3"/>
  </sheets>
  <definedNames/>
  <calcPr fullCalcOnLoad="1"/>
</workbook>
</file>

<file path=xl/sharedStrings.xml><?xml version="1.0" encoding="utf-8"?>
<sst xmlns="http://schemas.openxmlformats.org/spreadsheetml/2006/main" count="691" uniqueCount="396">
  <si>
    <t>S I E G E R L I S T E</t>
  </si>
  <si>
    <t>Sprung</t>
  </si>
  <si>
    <t>Stufenbarren</t>
  </si>
  <si>
    <t>Schwebebalken</t>
  </si>
  <si>
    <t>Boden</t>
  </si>
  <si>
    <t>Nr.</t>
  </si>
  <si>
    <t>Verein</t>
  </si>
  <si>
    <t>NA</t>
  </si>
  <si>
    <t>End-W</t>
  </si>
  <si>
    <t>Gesamt</t>
  </si>
  <si>
    <t>Platz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</si>
  <si>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</si>
  <si>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</si>
  <si>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</si>
  <si>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</si>
  <si>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</si>
  <si>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</si>
  <si>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</si>
  <si>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</si>
  <si>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</si>
  <si>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</si>
  <si>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</si>
  <si>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</si>
  <si>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</si>
  <si>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</si>
  <si>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</si>
  <si>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</si>
  <si>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</si>
  <si>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</si>
  <si>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Name</t>
  </si>
  <si>
    <t>Vorname</t>
  </si>
  <si>
    <t>19.</t>
  </si>
  <si>
    <t>24.</t>
  </si>
  <si>
    <t>25.</t>
  </si>
  <si>
    <t>20.</t>
  </si>
  <si>
    <t>21.</t>
  </si>
  <si>
    <t>22.</t>
  </si>
  <si>
    <t>23.</t>
  </si>
  <si>
    <t>26.</t>
  </si>
  <si>
    <t>DW</t>
  </si>
  <si>
    <t>EW</t>
  </si>
  <si>
    <t>Donnerstag, 26.05.16 - 4. Durchgang</t>
  </si>
  <si>
    <t>Lena</t>
  </si>
  <si>
    <t>TSV Gau-Odernheim</t>
  </si>
  <si>
    <t>Müller</t>
  </si>
  <si>
    <t>Heyer</t>
  </si>
  <si>
    <t>Paula</t>
  </si>
  <si>
    <t>TSG Grünstadt</t>
  </si>
  <si>
    <t>Lea</t>
  </si>
  <si>
    <t>Jg</t>
  </si>
  <si>
    <t xml:space="preserve">VT Zweibrücken </t>
  </si>
  <si>
    <t xml:space="preserve">Coblenzer TG </t>
  </si>
  <si>
    <t>TS Weinheim</t>
  </si>
  <si>
    <t>Clara</t>
  </si>
  <si>
    <t>Marx</t>
  </si>
  <si>
    <t>Sina</t>
  </si>
  <si>
    <t>Emma</t>
  </si>
  <si>
    <t>Leonie</t>
  </si>
  <si>
    <t>Korffmann</t>
  </si>
  <si>
    <t>Katharina</t>
  </si>
  <si>
    <t>Laura</t>
  </si>
  <si>
    <t>TV 1891 Lemberg</t>
  </si>
  <si>
    <t>TuS Ober-Ingelheim</t>
  </si>
  <si>
    <t xml:space="preserve">TV 1909 Morbach </t>
  </si>
  <si>
    <t xml:space="preserve">TV Miesenheim </t>
  </si>
  <si>
    <t>TSVgg Stadecken-Elsh.</t>
  </si>
  <si>
    <t>Lara</t>
  </si>
  <si>
    <t>Lisa</t>
  </si>
  <si>
    <t>Schneider</t>
  </si>
  <si>
    <t>Emilia</t>
  </si>
  <si>
    <t>Marie</t>
  </si>
  <si>
    <t>TV Monsheim</t>
  </si>
  <si>
    <t xml:space="preserve">TV Hermeskeil </t>
  </si>
  <si>
    <t xml:space="preserve">TG Boppard </t>
  </si>
  <si>
    <t>Anne</t>
  </si>
  <si>
    <t>Julia</t>
  </si>
  <si>
    <t>Jana</t>
  </si>
  <si>
    <t>Maya</t>
  </si>
  <si>
    <t>Alina</t>
  </si>
  <si>
    <t>Amelie</t>
  </si>
  <si>
    <t xml:space="preserve">TV Jahn Plaidt </t>
  </si>
  <si>
    <t xml:space="preserve">TV Dürkheim </t>
  </si>
  <si>
    <t>Sarah</t>
  </si>
  <si>
    <t>Annalena</t>
  </si>
  <si>
    <t>Sieburg</t>
  </si>
  <si>
    <t>Walter</t>
  </si>
  <si>
    <t>Resch</t>
  </si>
  <si>
    <t>Leandra</t>
  </si>
  <si>
    <t>Hannah</t>
  </si>
  <si>
    <t>Nina</t>
  </si>
  <si>
    <t>Judith</t>
  </si>
  <si>
    <t>TSVgg Stadecken-Elsh</t>
  </si>
  <si>
    <t xml:space="preserve">TSG Haßloch </t>
  </si>
  <si>
    <t>Franziska</t>
  </si>
  <si>
    <t>Maike</t>
  </si>
  <si>
    <t>Michel</t>
  </si>
  <si>
    <t>Hanna</t>
  </si>
  <si>
    <t xml:space="preserve">TSG Eisenberg </t>
  </si>
  <si>
    <t>Maja</t>
  </si>
  <si>
    <t>Klein</t>
  </si>
  <si>
    <t>Joana</t>
  </si>
  <si>
    <t xml:space="preserve">TV Rheinbrohl </t>
  </si>
  <si>
    <t xml:space="preserve">TV Braubach </t>
  </si>
  <si>
    <t xml:space="preserve">TV 1895 Edigheim </t>
  </si>
  <si>
    <t>Sophia</t>
  </si>
  <si>
    <t>Annika</t>
  </si>
  <si>
    <t>Weber</t>
  </si>
  <si>
    <t>Emily</t>
  </si>
  <si>
    <t>Jung</t>
  </si>
  <si>
    <t>Jennifer</t>
  </si>
  <si>
    <t>Wilhelm</t>
  </si>
  <si>
    <t>Berg</t>
  </si>
  <si>
    <t>Sophie</t>
  </si>
  <si>
    <t xml:space="preserve">Donnerstag, 26.05.16 </t>
  </si>
  <si>
    <t>1. und 2. Durchgang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</si>
  <si>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</si>
  <si>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</si>
  <si>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</si>
  <si>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</si>
  <si>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</si>
  <si>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</si>
  <si>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</si>
  <si>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</si>
  <si>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</si>
  <si>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</si>
  <si>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</si>
  <si>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</si>
  <si>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</si>
  <si>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</si>
  <si>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</si>
  <si>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</si>
  <si>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</si>
  <si>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</si>
  <si>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</si>
  <si>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</si>
  <si>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</si>
  <si>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</si>
  <si>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</si>
  <si>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</si>
  <si>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</si>
  <si>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</si>
  <si>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</si>
  <si>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</si>
  <si>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</si>
  <si>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</si>
  <si>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</si>
  <si>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</si>
  <si>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</si>
  <si>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</si>
  <si>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</si>
  <si>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</si>
  <si>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</si>
  <si>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</si>
  <si>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</si>
  <si>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</si>
  <si>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</si>
  <si>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</si>
  <si>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</si>
  <si>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WK 21442 Kür- Vierkampf LK 2    Jg. 2002 - 1999   </t>
  </si>
  <si>
    <t>Köppl</t>
  </si>
  <si>
    <t>Lisa-Marie</t>
  </si>
  <si>
    <t>TG 04 Limburgerhof</t>
  </si>
  <si>
    <t>Tabellion</t>
  </si>
  <si>
    <t>Brosch</t>
  </si>
  <si>
    <t>Beenke</t>
  </si>
  <si>
    <t>Löwe</t>
  </si>
  <si>
    <t>Eva</t>
  </si>
  <si>
    <t>Neumeister</t>
  </si>
  <si>
    <t>Stella</t>
  </si>
  <si>
    <t>Smith</t>
  </si>
  <si>
    <t>Fritsche</t>
  </si>
  <si>
    <t>Anna-Lena</t>
  </si>
  <si>
    <t>Barchet</t>
  </si>
  <si>
    <t>De Fazio</t>
  </si>
  <si>
    <t>Vanessa</t>
  </si>
  <si>
    <t>Krauß</t>
  </si>
  <si>
    <t>Khaylo</t>
  </si>
  <si>
    <t>Darya</t>
  </si>
  <si>
    <t>Neckel</t>
  </si>
  <si>
    <t>Göritz</t>
  </si>
  <si>
    <t>Lilian</t>
  </si>
  <si>
    <t>Kiehm</t>
  </si>
  <si>
    <t>Vedder</t>
  </si>
  <si>
    <t>Helen</t>
  </si>
  <si>
    <t>Thiel</t>
  </si>
  <si>
    <t>Gschwind</t>
  </si>
  <si>
    <t>Neuhaus</t>
  </si>
  <si>
    <t>Cosima</t>
  </si>
  <si>
    <t>Greiner</t>
  </si>
  <si>
    <t>Hock</t>
  </si>
  <si>
    <t>Frank</t>
  </si>
  <si>
    <t>Petri</t>
  </si>
  <si>
    <t>Förster</t>
  </si>
  <si>
    <t>TSG Ober-Flörsheim</t>
  </si>
  <si>
    <t>Holzheimer</t>
  </si>
  <si>
    <t>Scheffel</t>
  </si>
  <si>
    <t>Hampel</t>
  </si>
  <si>
    <t>Marie-Celine</t>
  </si>
  <si>
    <t>Reynolds</t>
  </si>
  <si>
    <t>Vivien</t>
  </si>
  <si>
    <t>Schultheiß</t>
  </si>
  <si>
    <t>Bea</t>
  </si>
  <si>
    <t xml:space="preserve">TV 1904 Erlenbach </t>
  </si>
  <si>
    <t xml:space="preserve">TV Edenkoben </t>
  </si>
  <si>
    <t xml:space="preserve">TV Ramstein </t>
  </si>
  <si>
    <t>Einschütz</t>
  </si>
  <si>
    <t>Mandrella</t>
  </si>
  <si>
    <t>Weitzel</t>
  </si>
  <si>
    <t>Sara</t>
  </si>
  <si>
    <t>Dörner</t>
  </si>
  <si>
    <t>Lilli</t>
  </si>
  <si>
    <t>TV Hechtsheim</t>
  </si>
  <si>
    <t>Emelie</t>
  </si>
  <si>
    <t>Greta</t>
  </si>
  <si>
    <t>Lechner</t>
  </si>
  <si>
    <t>Britz</t>
  </si>
  <si>
    <t>Bruker</t>
  </si>
  <si>
    <t>Anna Lotte</t>
  </si>
  <si>
    <t>Dinges</t>
  </si>
  <si>
    <t>Henrichs</t>
  </si>
  <si>
    <t>Bianca</t>
  </si>
  <si>
    <t>Krämer</t>
  </si>
  <si>
    <t>Klara</t>
  </si>
  <si>
    <t>Stracke</t>
  </si>
  <si>
    <t>Rauschenbach</t>
  </si>
  <si>
    <t>Kochems</t>
  </si>
  <si>
    <t>Marie-Sophie</t>
  </si>
  <si>
    <t>Waldmann</t>
  </si>
  <si>
    <t>Pompetzki</t>
  </si>
  <si>
    <t>Hannah Maya</t>
  </si>
  <si>
    <t>Gläßer</t>
  </si>
  <si>
    <t>Astrid</t>
  </si>
  <si>
    <t>Görg</t>
  </si>
  <si>
    <t>Aline</t>
  </si>
  <si>
    <t>Gottlieb</t>
  </si>
  <si>
    <t>Noa Katharina</t>
  </si>
  <si>
    <t>Elzer</t>
  </si>
  <si>
    <t>Sievert</t>
  </si>
  <si>
    <t>Laudes</t>
  </si>
  <si>
    <t>Gina Maria</t>
  </si>
  <si>
    <t>Roedel</t>
  </si>
  <si>
    <t>Smolders</t>
  </si>
  <si>
    <t>Annalisa</t>
  </si>
  <si>
    <t>Hofmann</t>
  </si>
  <si>
    <t>Meyer</t>
  </si>
  <si>
    <t>Vianne</t>
  </si>
  <si>
    <t>Zimmermann</t>
  </si>
  <si>
    <t xml:space="preserve">Idarer TV </t>
  </si>
  <si>
    <t>TuS Rheinböllen</t>
  </si>
  <si>
    <t xml:space="preserve">TuS Rheinböllen </t>
  </si>
  <si>
    <t xml:space="preserve">TV 08 Baumbach </t>
  </si>
  <si>
    <t xml:space="preserve">TuS Fortuna Kottenheim </t>
  </si>
  <si>
    <t xml:space="preserve">TuS Kirchberg </t>
  </si>
  <si>
    <t>TV 1909 Morbach</t>
  </si>
  <si>
    <t xml:space="preserve">TV Bad Sobernheim </t>
  </si>
  <si>
    <t xml:space="preserve">TV Eintracht Cochem </t>
  </si>
  <si>
    <t xml:space="preserve">TV Miesenheim 1910 </t>
  </si>
  <si>
    <t>Donnerstag, 26.05.16  - 3. Durchgang</t>
  </si>
  <si>
    <t xml:space="preserve">WK 21441 Kür- Vierkampf LK 2    Jg. 1998 u. älter   </t>
  </si>
  <si>
    <t>Collin</t>
  </si>
  <si>
    <t>Pauli</t>
  </si>
  <si>
    <t>Samira</t>
  </si>
  <si>
    <t>Tries</t>
  </si>
  <si>
    <t>Victoria</t>
  </si>
  <si>
    <t>Debus</t>
  </si>
  <si>
    <t>Karla</t>
  </si>
  <si>
    <t>Carmen</t>
  </si>
  <si>
    <t>Scholz</t>
  </si>
  <si>
    <t>Malina</t>
  </si>
  <si>
    <t>Lemler</t>
  </si>
  <si>
    <t>Wingender</t>
  </si>
  <si>
    <t>Sandra</t>
  </si>
  <si>
    <t>Chevalier</t>
  </si>
  <si>
    <t>Céline</t>
  </si>
  <si>
    <t>Roth</t>
  </si>
  <si>
    <t>Diether</t>
  </si>
  <si>
    <t>Deege</t>
  </si>
  <si>
    <t>Marina</t>
  </si>
  <si>
    <t>Rehfeld</t>
  </si>
  <si>
    <t>Doreen</t>
  </si>
  <si>
    <t>Mahla</t>
  </si>
  <si>
    <t>Dausmann</t>
  </si>
  <si>
    <t>Diener</t>
  </si>
  <si>
    <t>Anabel</t>
  </si>
  <si>
    <t>Stegner</t>
  </si>
  <si>
    <t>Verena</t>
  </si>
  <si>
    <t>Bardong</t>
  </si>
  <si>
    <t>Katrin</t>
  </si>
  <si>
    <t>Acker</t>
  </si>
  <si>
    <t>TV Bad Bergzabern</t>
  </si>
  <si>
    <t>Christmann</t>
  </si>
  <si>
    <t>Maren</t>
  </si>
  <si>
    <t>Prskawetz</t>
  </si>
  <si>
    <t>Tabea</t>
  </si>
  <si>
    <t>Seng</t>
  </si>
  <si>
    <t>Lang</t>
  </si>
  <si>
    <t>Michaela</t>
  </si>
  <si>
    <t>Helena</t>
  </si>
  <si>
    <t>Jasmin</t>
  </si>
  <si>
    <t>Bruß</t>
  </si>
  <si>
    <t>TSV Schott</t>
  </si>
  <si>
    <t>Specht</t>
  </si>
  <si>
    <t>Hannah Christine</t>
  </si>
  <si>
    <t xml:space="preserve">TV Bad Salzig </t>
  </si>
  <si>
    <t>TV Eintracht Cochem</t>
  </si>
  <si>
    <t xml:space="preserve">TV Weitersburg </t>
  </si>
  <si>
    <t>TPSV Enkenbach</t>
  </si>
  <si>
    <t xml:space="preserve">TuS Winzeln </t>
  </si>
  <si>
    <t xml:space="preserve">WK 21443 Kür- Vierkampf LK 3    Jg. 2004 - 2003  </t>
  </si>
  <si>
    <t>Flores</t>
  </si>
  <si>
    <t>Oriane</t>
  </si>
  <si>
    <t>Gromes</t>
  </si>
  <si>
    <t>Elisabeth</t>
  </si>
  <si>
    <t>Heinz</t>
  </si>
  <si>
    <t>Herzhoff</t>
  </si>
  <si>
    <t>Pia-Marie</t>
  </si>
  <si>
    <t>Kräber</t>
  </si>
  <si>
    <t>Oßwald</t>
  </si>
  <si>
    <t>Annemarie</t>
  </si>
  <si>
    <t>Schwaab</t>
  </si>
  <si>
    <t>Lucia</t>
  </si>
  <si>
    <t>Zerwas</t>
  </si>
  <si>
    <t>Gina-Maria</t>
  </si>
  <si>
    <t>Hübinger</t>
  </si>
  <si>
    <t>Hella</t>
  </si>
  <si>
    <t>Moor</t>
  </si>
  <si>
    <t>Jessica</t>
  </si>
  <si>
    <t>Kimmling</t>
  </si>
  <si>
    <t>Jill</t>
  </si>
  <si>
    <t>Navarrete Rosas</t>
  </si>
  <si>
    <t>Marlen</t>
  </si>
  <si>
    <t>Helwich</t>
  </si>
  <si>
    <t>Inessa</t>
  </si>
  <si>
    <t>Rothbächer</t>
  </si>
  <si>
    <t>Jette</t>
  </si>
  <si>
    <t>Staat</t>
  </si>
  <si>
    <t>Wörle</t>
  </si>
  <si>
    <t>Martin</t>
  </si>
  <si>
    <t>Una</t>
  </si>
  <si>
    <t>Schwalb</t>
  </si>
  <si>
    <t>Bilabel</t>
  </si>
  <si>
    <t>Luisa</t>
  </si>
  <si>
    <t>Cakar</t>
  </si>
  <si>
    <t>Melisa Melanie</t>
  </si>
  <si>
    <t>Hertel</t>
  </si>
  <si>
    <t>Caroline</t>
  </si>
  <si>
    <t>Hülsenbeck</t>
  </si>
  <si>
    <t>Fiona Anna</t>
  </si>
  <si>
    <t>Loos</t>
  </si>
  <si>
    <t>Waberski</t>
  </si>
  <si>
    <t>Tami</t>
  </si>
  <si>
    <t>Motsch</t>
  </si>
  <si>
    <t>Leila</t>
  </si>
  <si>
    <t>Gronenberg</t>
  </si>
  <si>
    <t>Nele Sofie</t>
  </si>
  <si>
    <t>Kennel</t>
  </si>
  <si>
    <t>Lamotte</t>
  </si>
  <si>
    <t>Lenhardt</t>
  </si>
  <si>
    <t>Baumann</t>
  </si>
  <si>
    <t>Kolbenschlag</t>
  </si>
  <si>
    <t>Paul</t>
  </si>
  <si>
    <t>Viktoria Katharina</t>
  </si>
  <si>
    <t>Pfautsch</t>
  </si>
  <si>
    <t>Ada Tabea</t>
  </si>
  <si>
    <t>Bartone</t>
  </si>
  <si>
    <t>Reichert</t>
  </si>
  <si>
    <t>Aimee</t>
  </si>
  <si>
    <t>Lugenbiehl</t>
  </si>
  <si>
    <t>Balzhäußer</t>
  </si>
  <si>
    <t>Elena</t>
  </si>
  <si>
    <t>Isabell</t>
  </si>
  <si>
    <t>Klopfer</t>
  </si>
  <si>
    <t>Charlotte</t>
  </si>
  <si>
    <t>Arms</t>
  </si>
  <si>
    <t>Mareike</t>
  </si>
  <si>
    <t xml:space="preserve">TV Oberstein </t>
  </si>
  <si>
    <t xml:space="preserve">TV Vallendar </t>
  </si>
  <si>
    <t>TV im ASV  Landau</t>
  </si>
  <si>
    <t xml:space="preserve">TV Wörth </t>
  </si>
  <si>
    <t xml:space="preserve">VT Contwig </t>
  </si>
  <si>
    <t>VT Contwig</t>
  </si>
  <si>
    <t>Göttert</t>
  </si>
  <si>
    <t>Kohlbecker</t>
  </si>
  <si>
    <t>Anna</t>
  </si>
  <si>
    <t>TV Abenheim</t>
  </si>
  <si>
    <t>Appel</t>
  </si>
  <si>
    <t>Tiegs</t>
  </si>
  <si>
    <t>Leya-Marie</t>
  </si>
  <si>
    <t>Stumper</t>
  </si>
  <si>
    <t>Sonja</t>
  </si>
  <si>
    <t>Tennigkeit</t>
  </si>
  <si>
    <t>Stark</t>
  </si>
  <si>
    <t>Ningma</t>
  </si>
  <si>
    <t>TV Mölsheim</t>
  </si>
  <si>
    <t>Borger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</si>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</sst>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MS Sans Serif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gray125"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65">
    <xf numFmtId="0" fontId="0" fillId="0" borderId="0" xfId="0" applyAlignment="1">
      <alignment/>
    </xf>
    <xf numFmtId="0" fontId="1" fillId="21" borderId="10" xfId="0" applyFont="1" applyFill="1" applyBorder="1" applyAlignment="1">
      <alignment horizontal="center"/>
    </xf>
    <xf numFmtId="0" fontId="1" fillId="21" borderId="1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21" borderId="11" xfId="0" applyFont="1" applyFill="1" applyBorder="1" applyAlignment="1">
      <alignment/>
    </xf>
    <xf numFmtId="0" fontId="5" fillId="21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4" fillId="21" borderId="13" xfId="0" applyFont="1" applyFill="1" applyBorder="1" applyAlignment="1">
      <alignment/>
    </xf>
    <xf numFmtId="0" fontId="5" fillId="21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10" fillId="24" borderId="15" xfId="0" applyFont="1" applyFill="1" applyBorder="1" applyAlignment="1">
      <alignment/>
    </xf>
    <xf numFmtId="0" fontId="11" fillId="21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1" fillId="21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21" borderId="19" xfId="0" applyFill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21" borderId="23" xfId="0" applyFill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/>
    </xf>
    <xf numFmtId="0" fontId="9" fillId="0" borderId="17" xfId="0" applyFont="1" applyBorder="1" applyAlignment="1">
      <alignment/>
    </xf>
    <xf numFmtId="0" fontId="1" fillId="25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1" fillId="25" borderId="15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26" borderId="24" xfId="0" applyFont="1" applyFill="1" applyBorder="1" applyAlignment="1">
      <alignment horizontal="center"/>
    </xf>
    <xf numFmtId="0" fontId="1" fillId="26" borderId="25" xfId="0" applyFont="1" applyFill="1" applyBorder="1" applyAlignment="1">
      <alignment horizontal="center"/>
    </xf>
    <xf numFmtId="0" fontId="1" fillId="26" borderId="15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0</xdr:row>
      <xdr:rowOff>123825</xdr:rowOff>
    </xdr:from>
    <xdr:ext cx="5267325" cy="400050"/>
    <xdr:sp>
      <xdr:nvSpPr>
        <xdr:cNvPr id="1" name="Text 1"/>
        <xdr:cNvSpPr>
          <a:spLocks/>
        </xdr:cNvSpPr>
      </xdr:nvSpPr>
      <xdr:spPr>
        <a:xfrm>
          <a:off x="276225" y="123825"/>
          <a:ext cx="5267325" cy="40005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Gerätturn-Cup beim Turnfest Rheinland-Pfalz 2016
</a:t>
          </a:r>
          <a:r>
            <a:rPr lang="en-US" cap="none" sz="1000" b="1" i="0" u="none" baseline="0">
              <a:solidFill>
                <a:srgbClr val="000080"/>
              </a:solidFill>
            </a:rPr>
            <a:t>Gerätturnen weiblich  Kür-Modifiziert  (LK)</a:t>
          </a:r>
        </a:p>
      </xdr:txBody>
    </xdr:sp>
    <xdr:clientData/>
  </xdr:oneCellAnchor>
  <xdr:oneCellAnchor>
    <xdr:from>
      <xdr:col>1</xdr:col>
      <xdr:colOff>276225</xdr:colOff>
      <xdr:row>56</xdr:row>
      <xdr:rowOff>0</xdr:rowOff>
    </xdr:from>
    <xdr:ext cx="180975" cy="266700"/>
    <xdr:sp fLocksText="0">
      <xdr:nvSpPr>
        <xdr:cNvPr id="2" name="Textfeld 1"/>
        <xdr:cNvSpPr txBox="1">
          <a:spLocks noChangeArrowheads="1"/>
        </xdr:cNvSpPr>
      </xdr:nvSpPr>
      <xdr:spPr>
        <a:xfrm>
          <a:off x="685800" y="9096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0</xdr:row>
      <xdr:rowOff>123825</xdr:rowOff>
    </xdr:from>
    <xdr:ext cx="5267325" cy="409575"/>
    <xdr:sp>
      <xdr:nvSpPr>
        <xdr:cNvPr id="1" name="Text 1"/>
        <xdr:cNvSpPr>
          <a:spLocks/>
        </xdr:cNvSpPr>
      </xdr:nvSpPr>
      <xdr:spPr>
        <a:xfrm>
          <a:off x="276225" y="123825"/>
          <a:ext cx="5267325" cy="409575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Gerätturn-Cupbeim Turnfest Rheinland-Pfalz 2016
</a:t>
          </a:r>
          <a:r>
            <a:rPr lang="en-US" cap="none" sz="1000" b="1" i="0" u="none" baseline="0">
              <a:solidFill>
                <a:srgbClr val="000080"/>
              </a:solidFill>
            </a:rPr>
            <a:t> Gerätturnen weiblich Spitzensport + Kür-Mod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0</xdr:row>
      <xdr:rowOff>123825</xdr:rowOff>
    </xdr:from>
    <xdr:ext cx="5267325" cy="390525"/>
    <xdr:sp>
      <xdr:nvSpPr>
        <xdr:cNvPr id="1" name="Text 1"/>
        <xdr:cNvSpPr>
          <a:spLocks/>
        </xdr:cNvSpPr>
      </xdr:nvSpPr>
      <xdr:spPr>
        <a:xfrm>
          <a:off x="276225" y="123825"/>
          <a:ext cx="5267325" cy="390525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Gerätturn-Cup beim Tuirnfest Rheinland-Pfalz 2016
</a:t>
          </a:r>
          <a:r>
            <a:rPr lang="en-US" cap="none" sz="1000" b="1" i="0" u="none" baseline="0">
              <a:solidFill>
                <a:srgbClr val="000080"/>
              </a:solidFill>
            </a:rPr>
            <a:t> Gerätturnen weiblich Spitzensport + Kür-Mod</a:t>
          </a:r>
        </a:p>
      </xdr:txBody>
    </xdr:sp>
    <xdr:clientData/>
  </xdr:oneCellAnchor>
  <xdr:oneCellAnchor>
    <xdr:from>
      <xdr:col>1</xdr:col>
      <xdr:colOff>276225</xdr:colOff>
      <xdr:row>16</xdr:row>
      <xdr:rowOff>0</xdr:rowOff>
    </xdr:from>
    <xdr:ext cx="180975" cy="266700"/>
    <xdr:sp fLocksText="0">
      <xdr:nvSpPr>
        <xdr:cNvPr id="2" name="Textfeld 1"/>
        <xdr:cNvSpPr txBox="1">
          <a:spLocks noChangeArrowheads="1"/>
        </xdr:cNvSpPr>
      </xdr:nvSpPr>
      <xdr:spPr>
        <a:xfrm>
          <a:off x="685800" y="261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276225</xdr:colOff>
      <xdr:row>20</xdr:row>
      <xdr:rowOff>0</xdr:rowOff>
    </xdr:from>
    <xdr:ext cx="180975" cy="266700"/>
    <xdr:sp fLocksText="0">
      <xdr:nvSpPr>
        <xdr:cNvPr id="3" name="Textfeld 1"/>
        <xdr:cNvSpPr txBox="1">
          <a:spLocks noChangeArrowheads="1"/>
        </xdr:cNvSpPr>
      </xdr:nvSpPr>
      <xdr:spPr>
        <a:xfrm>
          <a:off x="685800" y="326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tabSelected="1" zoomScalePageLayoutView="0" workbookViewId="0" topLeftCell="A1">
      <selection activeCell="V58" sqref="V58"/>
    </sheetView>
  </sheetViews>
  <sheetFormatPr defaultColWidth="11.421875" defaultRowHeight="12.75"/>
  <cols>
    <col min="1" max="1" width="6.140625" style="0" customWidth="1"/>
    <col min="2" max="2" width="10.7109375" style="0" customWidth="1"/>
    <col min="3" max="3" width="12.7109375" style="0" customWidth="1"/>
    <col min="4" max="4" width="5.00390625" style="0" customWidth="1"/>
    <col min="5" max="5" width="15.28125" style="0" customWidth="1"/>
    <col min="6" max="6" width="4.7109375" style="0" customWidth="1"/>
    <col min="7" max="7" width="5.7109375" style="0" customWidth="1"/>
    <col min="8" max="8" width="4.7109375" style="0" customWidth="1"/>
    <col min="9" max="9" width="5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5.7109375" style="0" customWidth="1"/>
    <col min="14" max="14" width="4.7109375" style="0" customWidth="1"/>
    <col min="15" max="15" width="5.7109375" style="0" customWidth="1"/>
    <col min="16" max="16" width="4.7109375" style="0" customWidth="1"/>
    <col min="17" max="17" width="5.7109375" style="0" customWidth="1"/>
    <col min="18" max="18" width="4.7109375" style="0" customWidth="1"/>
    <col min="19" max="19" width="5.7109375" style="0" customWidth="1"/>
    <col min="20" max="20" width="4.7109375" style="0" customWidth="1"/>
    <col min="21" max="21" width="5.7109375" style="0" customWidth="1"/>
    <col min="22" max="22" width="7.7109375" style="0" customWidth="1"/>
    <col min="23" max="23" width="5.57421875" style="0" customWidth="1"/>
  </cols>
  <sheetData>
    <row r="1" ht="13.5" thickBot="1"/>
    <row r="2" spans="17:22" ht="13.5" thickBot="1">
      <c r="Q2" s="22" t="s">
        <v>0</v>
      </c>
      <c r="R2" s="23"/>
      <c r="S2" s="23"/>
      <c r="T2" s="23"/>
      <c r="U2" s="23"/>
      <c r="V2" s="41"/>
    </row>
    <row r="3" spans="17:22" ht="12.75">
      <c r="Q3" s="42" t="s">
        <v>113</v>
      </c>
      <c r="R3" s="43"/>
      <c r="S3" s="43"/>
      <c r="T3" s="43"/>
      <c r="U3" s="43"/>
      <c r="V3" s="44"/>
    </row>
    <row r="4" spans="17:22" ht="13.5" thickBot="1">
      <c r="Q4" s="34" t="s">
        <v>114</v>
      </c>
      <c r="R4" s="35"/>
      <c r="S4" s="35"/>
      <c r="T4" s="35"/>
      <c r="U4" s="45"/>
      <c r="V4" s="36"/>
    </row>
    <row r="5" spans="17:22" ht="12.75">
      <c r="Q5" s="13"/>
      <c r="R5" s="14"/>
      <c r="S5" s="14"/>
      <c r="T5" s="14"/>
      <c r="U5" s="19"/>
      <c r="V5" s="14"/>
    </row>
    <row r="6" spans="1:23" ht="12.75">
      <c r="A6" s="17"/>
      <c r="B6" s="17"/>
      <c r="C6" s="18"/>
      <c r="D6" s="15"/>
      <c r="E6" s="12"/>
      <c r="F6" s="3"/>
      <c r="G6" s="4"/>
      <c r="H6" s="3"/>
      <c r="I6" s="5"/>
      <c r="J6" s="3"/>
      <c r="K6" s="4"/>
      <c r="L6" s="3"/>
      <c r="M6" s="5"/>
      <c r="N6" s="3"/>
      <c r="O6" s="4"/>
      <c r="P6" s="3"/>
      <c r="Q6" s="5"/>
      <c r="R6" s="3"/>
      <c r="S6" s="4"/>
      <c r="T6" s="3"/>
      <c r="U6" s="5"/>
      <c r="V6" s="6"/>
      <c r="W6" s="7"/>
    </row>
    <row r="7" spans="1:21" ht="12.75">
      <c r="A7" s="31"/>
      <c r="B7" s="28"/>
      <c r="C7" s="28" t="s">
        <v>158</v>
      </c>
      <c r="D7" s="29"/>
      <c r="E7" s="46"/>
      <c r="F7" s="62" t="s">
        <v>1</v>
      </c>
      <c r="G7" s="63"/>
      <c r="H7" s="63"/>
      <c r="I7" s="64"/>
      <c r="J7" s="62" t="s">
        <v>2</v>
      </c>
      <c r="K7" s="63"/>
      <c r="L7" s="63"/>
      <c r="M7" s="64"/>
      <c r="N7" s="62" t="s">
        <v>3</v>
      </c>
      <c r="O7" s="63"/>
      <c r="P7" s="63"/>
      <c r="Q7" s="64"/>
      <c r="R7" s="62" t="s">
        <v>4</v>
      </c>
      <c r="S7" s="63"/>
      <c r="T7" s="63"/>
      <c r="U7" s="64"/>
    </row>
    <row r="8" spans="1:23" ht="12.75">
      <c r="A8" s="1" t="s">
        <v>5</v>
      </c>
      <c r="B8" s="1" t="s">
        <v>29</v>
      </c>
      <c r="C8" s="1"/>
      <c r="D8" s="1" t="s">
        <v>49</v>
      </c>
      <c r="E8" s="1" t="s">
        <v>6</v>
      </c>
      <c r="F8" s="30" t="s">
        <v>39</v>
      </c>
      <c r="G8" s="30" t="s">
        <v>40</v>
      </c>
      <c r="H8" s="30" t="s">
        <v>7</v>
      </c>
      <c r="I8" s="30" t="s">
        <v>8</v>
      </c>
      <c r="J8" s="30" t="s">
        <v>39</v>
      </c>
      <c r="K8" s="30" t="s">
        <v>40</v>
      </c>
      <c r="L8" s="30" t="s">
        <v>7</v>
      </c>
      <c r="M8" s="30" t="s">
        <v>8</v>
      </c>
      <c r="N8" s="30" t="s">
        <v>39</v>
      </c>
      <c r="O8" s="30" t="s">
        <v>40</v>
      </c>
      <c r="P8" s="30" t="s">
        <v>7</v>
      </c>
      <c r="Q8" s="30" t="s">
        <v>8</v>
      </c>
      <c r="R8" s="30" t="s">
        <v>39</v>
      </c>
      <c r="S8" s="30" t="s">
        <v>40</v>
      </c>
      <c r="T8" s="30" t="s">
        <v>7</v>
      </c>
      <c r="U8" s="30" t="s">
        <v>8</v>
      </c>
      <c r="V8" s="1" t="s">
        <v>9</v>
      </c>
      <c r="W8" s="2" t="s">
        <v>10</v>
      </c>
    </row>
    <row r="9" spans="1:23" ht="12.75">
      <c r="A9" s="26">
        <v>552624</v>
      </c>
      <c r="B9" s="26" t="s">
        <v>224</v>
      </c>
      <c r="C9" s="10" t="s">
        <v>109</v>
      </c>
      <c r="D9" s="24">
        <v>2000</v>
      </c>
      <c r="E9" s="26" t="s">
        <v>247</v>
      </c>
      <c r="F9" s="4">
        <v>3.4</v>
      </c>
      <c r="G9" s="4">
        <f>SUM(10-(1+0.9)/2)</f>
        <v>9.05</v>
      </c>
      <c r="H9" s="4">
        <v>0</v>
      </c>
      <c r="I9" s="5">
        <f aca="true" t="shared" si="0" ref="I9:I40">SUM(F9+G9-H9)</f>
        <v>12.450000000000001</v>
      </c>
      <c r="J9" s="4">
        <v>4.9</v>
      </c>
      <c r="K9" s="4">
        <f>SUM(10-(1.6+1.7)/2)</f>
        <v>8.35</v>
      </c>
      <c r="L9" s="4">
        <v>0</v>
      </c>
      <c r="M9" s="5">
        <f aca="true" t="shared" si="1" ref="M9:M40">SUM(J9+K9-L9)</f>
        <v>13.25</v>
      </c>
      <c r="N9" s="4">
        <v>4.2</v>
      </c>
      <c r="O9" s="4">
        <f>SUM(10-(2.8+2.8)/2)</f>
        <v>7.2</v>
      </c>
      <c r="P9" s="4">
        <v>0</v>
      </c>
      <c r="Q9" s="5">
        <f aca="true" t="shared" si="2" ref="Q9:Q40">SUM(N9+O9-P9)</f>
        <v>11.4</v>
      </c>
      <c r="R9" s="4">
        <v>5.5</v>
      </c>
      <c r="S9" s="4">
        <f>SUM(10-(1.6+1.5)/2)</f>
        <v>8.45</v>
      </c>
      <c r="T9" s="4">
        <v>0</v>
      </c>
      <c r="U9" s="5">
        <f aca="true" t="shared" si="3" ref="U9:U40">SUM(R9+S9-T9)</f>
        <v>13.95</v>
      </c>
      <c r="V9" s="5">
        <f aca="true" t="shared" si="4" ref="V9:V40">SUM(I9+M9+Q9+U9)</f>
        <v>51.05</v>
      </c>
      <c r="W9" s="20" t="s">
        <v>11</v>
      </c>
    </row>
    <row r="10" spans="1:23" ht="12.75">
      <c r="A10" s="26">
        <v>557176</v>
      </c>
      <c r="B10" s="10" t="s">
        <v>68</v>
      </c>
      <c r="C10" s="10" t="s">
        <v>187</v>
      </c>
      <c r="D10" s="24">
        <v>2000</v>
      </c>
      <c r="E10" s="26" t="s">
        <v>81</v>
      </c>
      <c r="F10" s="4">
        <v>3.4</v>
      </c>
      <c r="G10" s="4">
        <f>SUM(10-(1.4+1.4)/2)</f>
        <v>8.6</v>
      </c>
      <c r="H10" s="4">
        <v>0</v>
      </c>
      <c r="I10" s="5">
        <f t="shared" si="0"/>
        <v>12</v>
      </c>
      <c r="J10" s="4">
        <v>4.1</v>
      </c>
      <c r="K10" s="4">
        <f>SUM(10-(2.4+2.4)/2)</f>
        <v>7.6</v>
      </c>
      <c r="L10" s="4">
        <v>0</v>
      </c>
      <c r="M10" s="5">
        <f t="shared" si="1"/>
        <v>11.7</v>
      </c>
      <c r="N10" s="4">
        <v>4.1</v>
      </c>
      <c r="O10" s="4">
        <f>SUM(10-(1.8+2.1)/2)</f>
        <v>8.05</v>
      </c>
      <c r="P10" s="4">
        <v>0</v>
      </c>
      <c r="Q10" s="5">
        <f t="shared" si="2"/>
        <v>12.15</v>
      </c>
      <c r="R10" s="4">
        <v>4.7</v>
      </c>
      <c r="S10" s="4">
        <f>SUM(10-(1.5+1.4)/2)</f>
        <v>8.55</v>
      </c>
      <c r="T10" s="4">
        <v>0</v>
      </c>
      <c r="U10" s="5">
        <f t="shared" si="3"/>
        <v>13.25</v>
      </c>
      <c r="V10" s="5">
        <f t="shared" si="4"/>
        <v>49.1</v>
      </c>
      <c r="W10" s="20" t="s">
        <v>12</v>
      </c>
    </row>
    <row r="11" spans="1:23" ht="12.75">
      <c r="A11" s="26">
        <v>539029</v>
      </c>
      <c r="B11" s="33" t="s">
        <v>176</v>
      </c>
      <c r="C11" s="33" t="s">
        <v>177</v>
      </c>
      <c r="D11" s="24">
        <v>2001</v>
      </c>
      <c r="E11" s="26" t="s">
        <v>202</v>
      </c>
      <c r="F11" s="4">
        <v>4</v>
      </c>
      <c r="G11" s="4">
        <f>SUM(10-(1.8+1.8)/2)</f>
        <v>8.2</v>
      </c>
      <c r="H11" s="4">
        <v>0</v>
      </c>
      <c r="I11" s="5">
        <f t="shared" si="0"/>
        <v>12.2</v>
      </c>
      <c r="J11" s="4">
        <v>3.8</v>
      </c>
      <c r="K11" s="4">
        <f>SUM(10-(2.8+2.5)/2)</f>
        <v>7.35</v>
      </c>
      <c r="L11" s="4">
        <v>0</v>
      </c>
      <c r="M11" s="5">
        <f t="shared" si="1"/>
        <v>11.149999999999999</v>
      </c>
      <c r="N11" s="4">
        <v>5.5</v>
      </c>
      <c r="O11" s="4">
        <f>SUM(10-(2.2+2)/2)</f>
        <v>7.9</v>
      </c>
      <c r="P11" s="4">
        <v>0</v>
      </c>
      <c r="Q11" s="5">
        <f t="shared" si="2"/>
        <v>13.4</v>
      </c>
      <c r="R11" s="4">
        <v>5.1</v>
      </c>
      <c r="S11" s="4">
        <f>SUM(10-(3.2+2.8)/2)</f>
        <v>7</v>
      </c>
      <c r="T11" s="4">
        <v>0</v>
      </c>
      <c r="U11" s="5">
        <f t="shared" si="3"/>
        <v>12.1</v>
      </c>
      <c r="V11" s="5">
        <f t="shared" si="4"/>
        <v>48.85</v>
      </c>
      <c r="W11" s="20" t="s">
        <v>13</v>
      </c>
    </row>
    <row r="12" spans="1:23" ht="12.75">
      <c r="A12" s="26">
        <v>638608</v>
      </c>
      <c r="B12" s="10" t="s">
        <v>237</v>
      </c>
      <c r="C12" s="10" t="s">
        <v>90</v>
      </c>
      <c r="D12" s="24">
        <v>2001</v>
      </c>
      <c r="E12" s="26" t="s">
        <v>252</v>
      </c>
      <c r="F12" s="4">
        <v>3.6</v>
      </c>
      <c r="G12" s="4">
        <f>SUM(10-(1.6+1.7)/2)</f>
        <v>8.35</v>
      </c>
      <c r="H12" s="4">
        <v>0</v>
      </c>
      <c r="I12" s="5">
        <f t="shared" si="0"/>
        <v>11.95</v>
      </c>
      <c r="J12" s="4">
        <v>3.9</v>
      </c>
      <c r="K12" s="4">
        <f>SUM(10-(3.2+2.7)/2)</f>
        <v>7.05</v>
      </c>
      <c r="L12" s="4">
        <v>0</v>
      </c>
      <c r="M12" s="5">
        <f t="shared" si="1"/>
        <v>10.95</v>
      </c>
      <c r="N12" s="4">
        <v>4.3</v>
      </c>
      <c r="O12" s="4">
        <f>SUM(10-(1.5+1.5)/2)</f>
        <v>8.5</v>
      </c>
      <c r="P12" s="4">
        <v>0</v>
      </c>
      <c r="Q12" s="5">
        <f t="shared" si="2"/>
        <v>12.8</v>
      </c>
      <c r="R12" s="4">
        <v>4.7</v>
      </c>
      <c r="S12" s="4">
        <f>SUM(10-(2.6+2.7)/2)</f>
        <v>7.35</v>
      </c>
      <c r="T12" s="4">
        <v>0</v>
      </c>
      <c r="U12" s="5">
        <f t="shared" si="3"/>
        <v>12.05</v>
      </c>
      <c r="V12" s="5">
        <f t="shared" si="4"/>
        <v>47.75</v>
      </c>
      <c r="W12" s="20" t="s">
        <v>14</v>
      </c>
    </row>
    <row r="13" spans="1:23" ht="12.75">
      <c r="A13" s="26">
        <v>579886</v>
      </c>
      <c r="B13" s="10" t="s">
        <v>243</v>
      </c>
      <c r="C13" s="10" t="s">
        <v>105</v>
      </c>
      <c r="D13" s="24">
        <v>2000</v>
      </c>
      <c r="E13" s="26" t="s">
        <v>255</v>
      </c>
      <c r="F13" s="4">
        <v>3.8</v>
      </c>
      <c r="G13" s="4">
        <f>SUM(10-(1.1+1.3)/2)</f>
        <v>8.8</v>
      </c>
      <c r="H13" s="4">
        <v>0</v>
      </c>
      <c r="I13" s="5">
        <f t="shared" si="0"/>
        <v>12.600000000000001</v>
      </c>
      <c r="J13" s="4">
        <v>3</v>
      </c>
      <c r="K13" s="4">
        <f>SUM(10-(2.5+2)/2)</f>
        <v>7.75</v>
      </c>
      <c r="L13" s="4">
        <v>0</v>
      </c>
      <c r="M13" s="5">
        <f t="shared" si="1"/>
        <v>10.75</v>
      </c>
      <c r="N13" s="4">
        <v>3.6</v>
      </c>
      <c r="O13" s="4">
        <f>SUM(10-(1.9+2)/2)</f>
        <v>8.05</v>
      </c>
      <c r="P13" s="4">
        <v>0</v>
      </c>
      <c r="Q13" s="5">
        <f t="shared" si="2"/>
        <v>11.65</v>
      </c>
      <c r="R13" s="4">
        <v>4.3</v>
      </c>
      <c r="S13" s="4">
        <f>SUM(10-(2+1.8)/2)</f>
        <v>8.1</v>
      </c>
      <c r="T13" s="4">
        <v>0</v>
      </c>
      <c r="U13" s="5">
        <f t="shared" si="3"/>
        <v>12.399999999999999</v>
      </c>
      <c r="V13" s="5">
        <f t="shared" si="4"/>
        <v>47.4</v>
      </c>
      <c r="W13" s="20" t="s">
        <v>15</v>
      </c>
    </row>
    <row r="14" spans="1:23" ht="12.75">
      <c r="A14" s="26">
        <v>538380</v>
      </c>
      <c r="B14" s="10" t="s">
        <v>190</v>
      </c>
      <c r="C14" s="10" t="s">
        <v>76</v>
      </c>
      <c r="D14" s="24">
        <v>1999</v>
      </c>
      <c r="E14" s="26" t="s">
        <v>204</v>
      </c>
      <c r="F14" s="4">
        <v>3.4</v>
      </c>
      <c r="G14" s="4">
        <f>SUM(10-(0.8+0.6)/2)</f>
        <v>9.3</v>
      </c>
      <c r="H14" s="4">
        <v>0</v>
      </c>
      <c r="I14" s="5">
        <f t="shared" si="0"/>
        <v>12.700000000000001</v>
      </c>
      <c r="J14" s="4">
        <v>3.8</v>
      </c>
      <c r="K14" s="4">
        <f>SUM(10-(2.5+2.3)/2)</f>
        <v>7.6</v>
      </c>
      <c r="L14" s="4">
        <v>0</v>
      </c>
      <c r="M14" s="5">
        <f t="shared" si="1"/>
        <v>11.399999999999999</v>
      </c>
      <c r="N14" s="4">
        <v>3.8</v>
      </c>
      <c r="O14" s="4">
        <f>SUM(10-(3.8+3.7)/2)</f>
        <v>6.25</v>
      </c>
      <c r="P14" s="4">
        <v>0</v>
      </c>
      <c r="Q14" s="5">
        <f t="shared" si="2"/>
        <v>10.05</v>
      </c>
      <c r="R14" s="4">
        <v>4.7</v>
      </c>
      <c r="S14" s="4">
        <f>SUM(10-(2.1+1.7)/2)</f>
        <v>8.1</v>
      </c>
      <c r="T14" s="4">
        <v>0</v>
      </c>
      <c r="U14" s="5">
        <f t="shared" si="3"/>
        <v>12.8</v>
      </c>
      <c r="V14" s="5">
        <f t="shared" si="4"/>
        <v>46.95</v>
      </c>
      <c r="W14" s="20" t="s">
        <v>16</v>
      </c>
    </row>
    <row r="15" spans="1:23" ht="12.75">
      <c r="A15" s="26">
        <v>576259</v>
      </c>
      <c r="B15" s="10" t="s">
        <v>175</v>
      </c>
      <c r="C15" s="10" t="s">
        <v>89</v>
      </c>
      <c r="D15" s="24">
        <v>2000</v>
      </c>
      <c r="E15" s="26" t="s">
        <v>103</v>
      </c>
      <c r="F15" s="4">
        <v>3.4</v>
      </c>
      <c r="G15" s="4">
        <f>SUM(10-(1.3+1.5)/2)</f>
        <v>8.6</v>
      </c>
      <c r="H15" s="4">
        <v>0</v>
      </c>
      <c r="I15" s="5">
        <f t="shared" si="0"/>
        <v>12</v>
      </c>
      <c r="J15" s="4">
        <v>3.7</v>
      </c>
      <c r="K15" s="4">
        <f>SUM(10-(3.3+2.9)/2)</f>
        <v>6.9</v>
      </c>
      <c r="L15" s="4">
        <v>0</v>
      </c>
      <c r="M15" s="5">
        <f t="shared" si="1"/>
        <v>10.600000000000001</v>
      </c>
      <c r="N15" s="4">
        <v>4.4</v>
      </c>
      <c r="O15" s="4">
        <f>SUM(10-(3.5+3.2)/2)</f>
        <v>6.65</v>
      </c>
      <c r="P15" s="4">
        <v>0</v>
      </c>
      <c r="Q15" s="5">
        <f t="shared" si="2"/>
        <v>11.05</v>
      </c>
      <c r="R15" s="4">
        <v>4.9</v>
      </c>
      <c r="S15" s="4">
        <f>SUM(10-(2+2.1)/2)</f>
        <v>7.95</v>
      </c>
      <c r="T15" s="4">
        <v>0</v>
      </c>
      <c r="U15" s="5">
        <f t="shared" si="3"/>
        <v>12.850000000000001</v>
      </c>
      <c r="V15" s="5">
        <f t="shared" si="4"/>
        <v>46.50000000000001</v>
      </c>
      <c r="W15" s="20" t="s">
        <v>17</v>
      </c>
    </row>
    <row r="16" spans="1:23" ht="12.75">
      <c r="A16" s="26">
        <v>554121</v>
      </c>
      <c r="B16" s="10" t="s">
        <v>240</v>
      </c>
      <c r="C16" s="10" t="s">
        <v>96</v>
      </c>
      <c r="D16" s="24">
        <v>2001</v>
      </c>
      <c r="E16" s="26" t="s">
        <v>254</v>
      </c>
      <c r="F16" s="4">
        <v>3.8</v>
      </c>
      <c r="G16" s="4">
        <f>SUM(10-(2.2+2.2)/2)</f>
        <v>7.8</v>
      </c>
      <c r="H16" s="4">
        <v>0</v>
      </c>
      <c r="I16" s="5">
        <f t="shared" si="0"/>
        <v>11.6</v>
      </c>
      <c r="J16" s="4">
        <v>3.3</v>
      </c>
      <c r="K16" s="4">
        <f>SUM(10-(2.6+2.3)/2)</f>
        <v>7.55</v>
      </c>
      <c r="L16" s="4">
        <v>0</v>
      </c>
      <c r="M16" s="5">
        <f t="shared" si="1"/>
        <v>10.85</v>
      </c>
      <c r="N16" s="4">
        <v>4.5</v>
      </c>
      <c r="O16" s="4">
        <f>SUM(10-(3.2+2.9)/2)</f>
        <v>6.95</v>
      </c>
      <c r="P16" s="4">
        <v>0</v>
      </c>
      <c r="Q16" s="5">
        <f t="shared" si="2"/>
        <v>11.45</v>
      </c>
      <c r="R16" s="4">
        <v>4.5</v>
      </c>
      <c r="S16" s="4">
        <f>SUM(10-(2+2.1)/2)</f>
        <v>7.95</v>
      </c>
      <c r="T16" s="4">
        <v>0</v>
      </c>
      <c r="U16" s="5">
        <f t="shared" si="3"/>
        <v>12.45</v>
      </c>
      <c r="V16" s="5">
        <f t="shared" si="4"/>
        <v>46.349999999999994</v>
      </c>
      <c r="W16" s="20" t="s">
        <v>18</v>
      </c>
    </row>
    <row r="17" spans="1:23" ht="12.75">
      <c r="A17" s="26">
        <v>571473</v>
      </c>
      <c r="B17" s="10" t="s">
        <v>165</v>
      </c>
      <c r="C17" s="10" t="s">
        <v>166</v>
      </c>
      <c r="D17" s="24">
        <v>2000</v>
      </c>
      <c r="E17" s="26" t="s">
        <v>47</v>
      </c>
      <c r="F17" s="27">
        <v>5</v>
      </c>
      <c r="G17" s="4">
        <f>SUM(10-(2.3+1.8)/2)</f>
        <v>7.95</v>
      </c>
      <c r="H17" s="4">
        <v>0</v>
      </c>
      <c r="I17" s="5">
        <f t="shared" si="0"/>
        <v>12.95</v>
      </c>
      <c r="J17" s="4">
        <v>3</v>
      </c>
      <c r="K17" s="4">
        <f>SUM(10-(2+2.3)/2)</f>
        <v>7.85</v>
      </c>
      <c r="L17" s="4">
        <v>0</v>
      </c>
      <c r="M17" s="5">
        <f t="shared" si="1"/>
        <v>10.85</v>
      </c>
      <c r="N17" s="4">
        <v>3.8</v>
      </c>
      <c r="O17" s="4">
        <f>SUM(10-(4+3.7)/2)</f>
        <v>6.15</v>
      </c>
      <c r="P17" s="4">
        <v>0</v>
      </c>
      <c r="Q17" s="5">
        <f t="shared" si="2"/>
        <v>9.95</v>
      </c>
      <c r="R17" s="4">
        <v>4.5</v>
      </c>
      <c r="S17" s="4">
        <f>SUM(10-(2.5+2.1)/2)</f>
        <v>7.7</v>
      </c>
      <c r="T17" s="4">
        <v>0</v>
      </c>
      <c r="U17" s="5">
        <f t="shared" si="3"/>
        <v>12.2</v>
      </c>
      <c r="V17" s="5">
        <f t="shared" si="4"/>
        <v>45.95</v>
      </c>
      <c r="W17" s="20" t="s">
        <v>19</v>
      </c>
    </row>
    <row r="18" spans="1:23" ht="12.75">
      <c r="A18" s="26">
        <v>635299</v>
      </c>
      <c r="B18" s="10" t="s">
        <v>182</v>
      </c>
      <c r="C18" s="10" t="s">
        <v>183</v>
      </c>
      <c r="D18" s="24">
        <v>2001</v>
      </c>
      <c r="E18" s="26" t="s">
        <v>50</v>
      </c>
      <c r="F18" s="4">
        <v>3.4</v>
      </c>
      <c r="G18" s="4">
        <f>SUM(10-(1.6+1.8)/2)</f>
        <v>8.3</v>
      </c>
      <c r="H18" s="4">
        <v>0</v>
      </c>
      <c r="I18" s="5">
        <f t="shared" si="0"/>
        <v>11.700000000000001</v>
      </c>
      <c r="J18" s="4">
        <v>3</v>
      </c>
      <c r="K18" s="4">
        <f>SUM(10-(2+2.2)/2)</f>
        <v>7.9</v>
      </c>
      <c r="L18" s="4">
        <v>0</v>
      </c>
      <c r="M18" s="5">
        <f t="shared" si="1"/>
        <v>10.9</v>
      </c>
      <c r="N18" s="4">
        <v>3.1</v>
      </c>
      <c r="O18" s="4">
        <f>SUM(10-(1.9+1.6)/2)</f>
        <v>8.25</v>
      </c>
      <c r="P18" s="4">
        <v>0</v>
      </c>
      <c r="Q18" s="5">
        <f t="shared" si="2"/>
        <v>11.35</v>
      </c>
      <c r="R18" s="4">
        <v>4.5</v>
      </c>
      <c r="S18" s="4">
        <f>SUM(10-(2.6+2.8)/2)</f>
        <v>7.3</v>
      </c>
      <c r="T18" s="4">
        <v>0</v>
      </c>
      <c r="U18" s="5">
        <f t="shared" si="3"/>
        <v>11.8</v>
      </c>
      <c r="V18" s="5">
        <f t="shared" si="4"/>
        <v>45.75</v>
      </c>
      <c r="W18" s="20" t="s">
        <v>20</v>
      </c>
    </row>
    <row r="19" spans="1:23" ht="12.75">
      <c r="A19" s="26">
        <v>552068</v>
      </c>
      <c r="B19" s="10" t="s">
        <v>232</v>
      </c>
      <c r="C19" s="10" t="s">
        <v>233</v>
      </c>
      <c r="D19" s="24">
        <v>2000</v>
      </c>
      <c r="E19" s="26" t="s">
        <v>250</v>
      </c>
      <c r="F19" s="4">
        <v>3.8</v>
      </c>
      <c r="G19" s="4">
        <f>SUM(10-(2.1+2.3)/2)</f>
        <v>7.8</v>
      </c>
      <c r="H19" s="4">
        <v>0</v>
      </c>
      <c r="I19" s="5">
        <f t="shared" si="0"/>
        <v>11.6</v>
      </c>
      <c r="J19" s="4">
        <v>3.9</v>
      </c>
      <c r="K19" s="4">
        <f>SUM(10-(3+2.9)/2)</f>
        <v>7.05</v>
      </c>
      <c r="L19" s="4">
        <v>0</v>
      </c>
      <c r="M19" s="5">
        <f t="shared" si="1"/>
        <v>10.95</v>
      </c>
      <c r="N19" s="4">
        <v>4.5</v>
      </c>
      <c r="O19" s="4">
        <f>SUM(10-(2.3+2.1)/2)</f>
        <v>7.8</v>
      </c>
      <c r="P19" s="4">
        <v>0</v>
      </c>
      <c r="Q19" s="5">
        <f t="shared" si="2"/>
        <v>12.3</v>
      </c>
      <c r="R19" s="4">
        <v>4.3</v>
      </c>
      <c r="S19" s="4">
        <f>SUM(10-(3.5+3.5)/2)</f>
        <v>6.5</v>
      </c>
      <c r="T19" s="4">
        <v>0</v>
      </c>
      <c r="U19" s="5">
        <f t="shared" si="3"/>
        <v>10.8</v>
      </c>
      <c r="V19" s="5">
        <f t="shared" si="4"/>
        <v>45.64999999999999</v>
      </c>
      <c r="W19" s="20" t="s">
        <v>21</v>
      </c>
    </row>
    <row r="20" spans="1:23" ht="12.75">
      <c r="A20" s="26">
        <v>560928</v>
      </c>
      <c r="B20" s="10" t="s">
        <v>179</v>
      </c>
      <c r="C20" s="10" t="s">
        <v>180</v>
      </c>
      <c r="D20" s="24">
        <v>2001</v>
      </c>
      <c r="E20" s="26" t="s">
        <v>50</v>
      </c>
      <c r="F20" s="4">
        <v>3.4</v>
      </c>
      <c r="G20" s="4">
        <f>SUM(10-(2.4+2.1)/2)</f>
        <v>7.75</v>
      </c>
      <c r="H20" s="4">
        <v>0</v>
      </c>
      <c r="I20" s="5">
        <f t="shared" si="0"/>
        <v>11.15</v>
      </c>
      <c r="J20" s="4">
        <v>3.2</v>
      </c>
      <c r="K20" s="4">
        <f>SUM(10-(2.8+2.9)/2)</f>
        <v>7.15</v>
      </c>
      <c r="L20" s="4">
        <v>0</v>
      </c>
      <c r="M20" s="5">
        <f t="shared" si="1"/>
        <v>10.350000000000001</v>
      </c>
      <c r="N20" s="4">
        <v>3.6</v>
      </c>
      <c r="O20" s="4">
        <f>SUM(10-(2.4+2.8)/2)</f>
        <v>7.4</v>
      </c>
      <c r="P20" s="4">
        <v>0</v>
      </c>
      <c r="Q20" s="5">
        <f t="shared" si="2"/>
        <v>11</v>
      </c>
      <c r="R20" s="4">
        <v>4.9</v>
      </c>
      <c r="S20" s="4">
        <f>SUM(10-(1.8+1.8)/2)</f>
        <v>8.2</v>
      </c>
      <c r="T20" s="4">
        <v>0</v>
      </c>
      <c r="U20" s="5">
        <f t="shared" si="3"/>
        <v>13.1</v>
      </c>
      <c r="V20" s="5">
        <f t="shared" si="4"/>
        <v>45.6</v>
      </c>
      <c r="W20" s="20" t="s">
        <v>22</v>
      </c>
    </row>
    <row r="21" spans="1:23" ht="12.75">
      <c r="A21" s="26">
        <v>645364</v>
      </c>
      <c r="B21" s="10" t="s">
        <v>238</v>
      </c>
      <c r="C21" s="10" t="s">
        <v>239</v>
      </c>
      <c r="D21" s="24">
        <v>2001</v>
      </c>
      <c r="E21" s="26" t="s">
        <v>253</v>
      </c>
      <c r="F21" s="4">
        <v>4</v>
      </c>
      <c r="G21" s="4">
        <f>SUM(10-(1.8+1.4)/2)</f>
        <v>8.4</v>
      </c>
      <c r="H21" s="4">
        <v>0</v>
      </c>
      <c r="I21" s="5">
        <f t="shared" si="0"/>
        <v>12.4</v>
      </c>
      <c r="J21" s="4">
        <v>3</v>
      </c>
      <c r="K21" s="4">
        <f>SUM(10-(2.3+2.7)/2)</f>
        <v>7.5</v>
      </c>
      <c r="L21" s="4">
        <v>0</v>
      </c>
      <c r="M21" s="5">
        <f t="shared" si="1"/>
        <v>10.5</v>
      </c>
      <c r="N21" s="4">
        <v>2.7</v>
      </c>
      <c r="O21" s="4">
        <f>SUM(10-(3+3.4)/2)</f>
        <v>6.8</v>
      </c>
      <c r="P21" s="4">
        <v>0</v>
      </c>
      <c r="Q21" s="5">
        <f t="shared" si="2"/>
        <v>9.5</v>
      </c>
      <c r="R21" s="4">
        <v>5.5</v>
      </c>
      <c r="S21" s="4">
        <f>SUM(10-(2.2+2.4)/2)</f>
        <v>7.7</v>
      </c>
      <c r="T21" s="4">
        <v>0</v>
      </c>
      <c r="U21" s="5">
        <f t="shared" si="3"/>
        <v>13.2</v>
      </c>
      <c r="V21" s="5">
        <f t="shared" si="4"/>
        <v>45.599999999999994</v>
      </c>
      <c r="W21" s="20" t="s">
        <v>22</v>
      </c>
    </row>
    <row r="22" spans="1:23" ht="12.75">
      <c r="A22" s="26">
        <v>644906</v>
      </c>
      <c r="B22" s="10" t="s">
        <v>225</v>
      </c>
      <c r="C22" s="10" t="s">
        <v>226</v>
      </c>
      <c r="D22" s="24">
        <v>2002</v>
      </c>
      <c r="E22" s="26" t="s">
        <v>248</v>
      </c>
      <c r="F22" s="4">
        <v>3.4</v>
      </c>
      <c r="G22" s="4">
        <f>SUM(10-(2.2+2)/2)</f>
        <v>7.9</v>
      </c>
      <c r="H22" s="4">
        <v>0</v>
      </c>
      <c r="I22" s="5">
        <f t="shared" si="0"/>
        <v>11.3</v>
      </c>
      <c r="J22" s="4">
        <v>3.1</v>
      </c>
      <c r="K22" s="4">
        <f>SUM(10-(2.6+2.5)/2)</f>
        <v>7.45</v>
      </c>
      <c r="L22" s="4">
        <v>0</v>
      </c>
      <c r="M22" s="5">
        <f t="shared" si="1"/>
        <v>10.55</v>
      </c>
      <c r="N22" s="4">
        <v>3.4</v>
      </c>
      <c r="O22" s="4">
        <f>SUM(10-(2.4+2.1)/2)</f>
        <v>7.75</v>
      </c>
      <c r="P22" s="4">
        <v>0</v>
      </c>
      <c r="Q22" s="5">
        <f t="shared" si="2"/>
        <v>11.15</v>
      </c>
      <c r="R22" s="4">
        <v>4.5</v>
      </c>
      <c r="S22" s="4">
        <f>SUM(10-(2.3+2.4)/2)</f>
        <v>7.65</v>
      </c>
      <c r="T22" s="4">
        <v>0</v>
      </c>
      <c r="U22" s="5">
        <f t="shared" si="3"/>
        <v>12.15</v>
      </c>
      <c r="V22" s="5">
        <f t="shared" si="4"/>
        <v>45.15</v>
      </c>
      <c r="W22" s="20" t="s">
        <v>24</v>
      </c>
    </row>
    <row r="23" spans="1:23" ht="12.75">
      <c r="A23" s="26">
        <v>664005</v>
      </c>
      <c r="B23" s="10" t="s">
        <v>223</v>
      </c>
      <c r="C23" s="10" t="s">
        <v>93</v>
      </c>
      <c r="D23" s="24">
        <v>2001</v>
      </c>
      <c r="E23" s="26" t="s">
        <v>51</v>
      </c>
      <c r="F23" s="4">
        <v>4</v>
      </c>
      <c r="G23" s="4">
        <f>SUM(10-(2.5+2.3)/2)</f>
        <v>7.6</v>
      </c>
      <c r="H23" s="4">
        <v>0</v>
      </c>
      <c r="I23" s="5">
        <f t="shared" si="0"/>
        <v>11.6</v>
      </c>
      <c r="J23" s="4">
        <v>3.1</v>
      </c>
      <c r="K23" s="4">
        <f>SUM(10-(2+2)/2)</f>
        <v>8</v>
      </c>
      <c r="L23" s="4">
        <v>0</v>
      </c>
      <c r="M23" s="5">
        <f t="shared" si="1"/>
        <v>11.1</v>
      </c>
      <c r="N23" s="4">
        <v>2.9</v>
      </c>
      <c r="O23" s="4">
        <f>SUM(10-(2.4+2.6)/2)</f>
        <v>7.5</v>
      </c>
      <c r="P23" s="4">
        <v>0</v>
      </c>
      <c r="Q23" s="5">
        <f t="shared" si="2"/>
        <v>10.4</v>
      </c>
      <c r="R23" s="4">
        <v>4.3</v>
      </c>
      <c r="S23" s="4">
        <f>SUM(10-(2.6+2.5)/2)</f>
        <v>7.45</v>
      </c>
      <c r="T23" s="4">
        <v>0</v>
      </c>
      <c r="U23" s="5">
        <f t="shared" si="3"/>
        <v>11.75</v>
      </c>
      <c r="V23" s="5">
        <f t="shared" si="4"/>
        <v>44.85</v>
      </c>
      <c r="W23" s="20" t="s">
        <v>25</v>
      </c>
    </row>
    <row r="24" spans="1:23" ht="12.75">
      <c r="A24" s="26">
        <v>649055</v>
      </c>
      <c r="B24" s="10" t="s">
        <v>227</v>
      </c>
      <c r="C24" s="10" t="s">
        <v>100</v>
      </c>
      <c r="D24" s="24">
        <v>2000</v>
      </c>
      <c r="E24" s="26" t="s">
        <v>249</v>
      </c>
      <c r="F24" s="4">
        <v>3.6</v>
      </c>
      <c r="G24" s="4">
        <f>SUM(10-(2+2.3)/2)</f>
        <v>7.85</v>
      </c>
      <c r="H24" s="4">
        <v>0</v>
      </c>
      <c r="I24" s="5">
        <f t="shared" si="0"/>
        <v>11.45</v>
      </c>
      <c r="J24" s="4">
        <v>2.9</v>
      </c>
      <c r="K24" s="4">
        <f>SUM(10-(1.7+1.6)/2)</f>
        <v>8.35</v>
      </c>
      <c r="L24" s="4">
        <v>1</v>
      </c>
      <c r="M24" s="5">
        <f t="shared" si="1"/>
        <v>10.25</v>
      </c>
      <c r="N24" s="4">
        <v>2.6</v>
      </c>
      <c r="O24" s="4">
        <f>SUM(10-(2.2+2.3)/2)</f>
        <v>7.75</v>
      </c>
      <c r="P24" s="4">
        <v>0</v>
      </c>
      <c r="Q24" s="5">
        <f t="shared" si="2"/>
        <v>10.35</v>
      </c>
      <c r="R24" s="4">
        <v>4.3</v>
      </c>
      <c r="S24" s="4">
        <f>SUM(10-(1.4+1.8)/2)</f>
        <v>8.4</v>
      </c>
      <c r="T24" s="4">
        <v>0</v>
      </c>
      <c r="U24" s="5">
        <f t="shared" si="3"/>
        <v>12.7</v>
      </c>
      <c r="V24" s="5">
        <f t="shared" si="4"/>
        <v>44.75</v>
      </c>
      <c r="W24" s="20" t="s">
        <v>26</v>
      </c>
    </row>
    <row r="25" spans="1:23" ht="12.75">
      <c r="A25" s="26">
        <v>554749</v>
      </c>
      <c r="B25" s="10" t="s">
        <v>195</v>
      </c>
      <c r="C25" s="10" t="s">
        <v>59</v>
      </c>
      <c r="D25" s="24">
        <v>2000</v>
      </c>
      <c r="E25" s="26" t="s">
        <v>43</v>
      </c>
      <c r="F25" s="4">
        <v>4.4</v>
      </c>
      <c r="G25" s="4">
        <f>SUM(10-(2.1+2.5)/2)</f>
        <v>7.7</v>
      </c>
      <c r="H25" s="4">
        <v>0</v>
      </c>
      <c r="I25" s="5">
        <f t="shared" si="0"/>
        <v>12.100000000000001</v>
      </c>
      <c r="J25" s="4">
        <v>3.1</v>
      </c>
      <c r="K25" s="4">
        <f>SUM(10-(1.8+1.8)/2)</f>
        <v>8.2</v>
      </c>
      <c r="L25" s="4">
        <v>0</v>
      </c>
      <c r="M25" s="5">
        <f t="shared" si="1"/>
        <v>11.299999999999999</v>
      </c>
      <c r="N25" s="4">
        <v>3.4</v>
      </c>
      <c r="O25" s="4">
        <f>SUM(10-(3.9+3.5)/2)</f>
        <v>6.3</v>
      </c>
      <c r="P25" s="4">
        <v>0</v>
      </c>
      <c r="Q25" s="5">
        <f t="shared" si="2"/>
        <v>9.7</v>
      </c>
      <c r="R25" s="4">
        <v>3.7</v>
      </c>
      <c r="S25" s="4">
        <f>SUM(10-(2.2+2)/2)</f>
        <v>7.9</v>
      </c>
      <c r="T25" s="4">
        <v>0</v>
      </c>
      <c r="U25" s="5">
        <f t="shared" si="3"/>
        <v>11.600000000000001</v>
      </c>
      <c r="V25" s="5">
        <f t="shared" si="4"/>
        <v>44.699999999999996</v>
      </c>
      <c r="W25" s="20" t="s">
        <v>27</v>
      </c>
    </row>
    <row r="26" spans="1:23" ht="12.75">
      <c r="A26" s="26">
        <v>575095</v>
      </c>
      <c r="B26" s="10" t="s">
        <v>164</v>
      </c>
      <c r="C26" s="10" t="s">
        <v>87</v>
      </c>
      <c r="D26" s="24">
        <v>2002</v>
      </c>
      <c r="E26" s="26" t="s">
        <v>47</v>
      </c>
      <c r="F26" s="27">
        <v>3.4</v>
      </c>
      <c r="G26" s="4">
        <f>SUM(10-(1.2+1.1)/2)</f>
        <v>8.85</v>
      </c>
      <c r="H26" s="4">
        <v>0</v>
      </c>
      <c r="I26" s="5">
        <f t="shared" si="0"/>
        <v>12.25</v>
      </c>
      <c r="J26" s="4">
        <v>3.1</v>
      </c>
      <c r="K26" s="4">
        <f>SUM(10-(2+2.4)/2)</f>
        <v>7.8</v>
      </c>
      <c r="L26" s="4">
        <v>0</v>
      </c>
      <c r="M26" s="5">
        <f t="shared" si="1"/>
        <v>10.9</v>
      </c>
      <c r="N26" s="4">
        <v>3.8</v>
      </c>
      <c r="O26" s="4">
        <f>SUM(10-(5.2+5.4)/2)</f>
        <v>4.699999999999999</v>
      </c>
      <c r="P26" s="4">
        <v>0</v>
      </c>
      <c r="Q26" s="5">
        <f t="shared" si="2"/>
        <v>8.5</v>
      </c>
      <c r="R26" s="4">
        <v>4.7</v>
      </c>
      <c r="S26" s="4">
        <f>SUM(10-(1.8+2)/2)</f>
        <v>8.1</v>
      </c>
      <c r="T26" s="4">
        <v>0</v>
      </c>
      <c r="U26" s="5">
        <f t="shared" si="3"/>
        <v>12.8</v>
      </c>
      <c r="V26" s="5">
        <f t="shared" si="4"/>
        <v>44.45</v>
      </c>
      <c r="W26" s="20" t="s">
        <v>28</v>
      </c>
    </row>
    <row r="27" spans="1:23" ht="12.75">
      <c r="A27" s="26">
        <v>551530</v>
      </c>
      <c r="B27" s="10" t="s">
        <v>246</v>
      </c>
      <c r="C27" s="10" t="s">
        <v>60</v>
      </c>
      <c r="D27" s="24">
        <v>2000</v>
      </c>
      <c r="E27" s="26" t="s">
        <v>256</v>
      </c>
      <c r="F27" s="4">
        <v>3.4</v>
      </c>
      <c r="G27" s="4">
        <f>SUM(10-(1.8+1.8)/2)</f>
        <v>8.2</v>
      </c>
      <c r="H27" s="4">
        <v>0</v>
      </c>
      <c r="I27" s="5">
        <f t="shared" si="0"/>
        <v>11.6</v>
      </c>
      <c r="J27" s="4">
        <v>2.9</v>
      </c>
      <c r="K27" s="4">
        <f>SUM(10-(2.9+2.7)/2)</f>
        <v>7.2</v>
      </c>
      <c r="L27" s="4">
        <v>0</v>
      </c>
      <c r="M27" s="5">
        <f t="shared" si="1"/>
        <v>10.1</v>
      </c>
      <c r="N27" s="4">
        <v>3.5</v>
      </c>
      <c r="O27" s="4">
        <f>SUM(10-(4.2+4.5)/2)</f>
        <v>5.65</v>
      </c>
      <c r="P27" s="4">
        <v>0</v>
      </c>
      <c r="Q27" s="5">
        <f t="shared" si="2"/>
        <v>9.15</v>
      </c>
      <c r="R27" s="4">
        <v>5.7</v>
      </c>
      <c r="S27" s="4">
        <f>SUM(10-(2.3+2.1)/2)</f>
        <v>7.8</v>
      </c>
      <c r="T27" s="4">
        <v>0</v>
      </c>
      <c r="U27" s="5">
        <f t="shared" si="3"/>
        <v>13.5</v>
      </c>
      <c r="V27" s="5">
        <f t="shared" si="4"/>
        <v>44.35</v>
      </c>
      <c r="W27" s="20" t="s">
        <v>31</v>
      </c>
    </row>
    <row r="28" spans="1:23" ht="12.75">
      <c r="A28" s="26">
        <v>544340</v>
      </c>
      <c r="B28" s="10" t="s">
        <v>169</v>
      </c>
      <c r="C28" s="10" t="s">
        <v>67</v>
      </c>
      <c r="D28" s="24">
        <v>2000</v>
      </c>
      <c r="E28" s="26" t="s">
        <v>47</v>
      </c>
      <c r="F28" s="27">
        <v>5</v>
      </c>
      <c r="G28" s="4">
        <f>SUM(10-(2.6+2.3)/2)</f>
        <v>7.55</v>
      </c>
      <c r="H28" s="4">
        <v>0</v>
      </c>
      <c r="I28" s="5">
        <f t="shared" si="0"/>
        <v>12.55</v>
      </c>
      <c r="J28" s="4">
        <v>3</v>
      </c>
      <c r="K28" s="4">
        <f>SUM(10-(1.6+2)/2)</f>
        <v>8.2</v>
      </c>
      <c r="L28" s="4">
        <v>0</v>
      </c>
      <c r="M28" s="5">
        <f t="shared" si="1"/>
        <v>11.2</v>
      </c>
      <c r="N28" s="4">
        <v>3.1</v>
      </c>
      <c r="O28" s="4">
        <f>SUM(10-(5.5+5.8)/2)</f>
        <v>4.35</v>
      </c>
      <c r="P28" s="4">
        <v>0</v>
      </c>
      <c r="Q28" s="5">
        <f t="shared" si="2"/>
        <v>7.449999999999999</v>
      </c>
      <c r="R28" s="4">
        <v>4.7</v>
      </c>
      <c r="S28" s="4">
        <f>SUM(10-(1.5+1.7)/2)</f>
        <v>8.4</v>
      </c>
      <c r="T28" s="4">
        <v>0</v>
      </c>
      <c r="U28" s="5">
        <f t="shared" si="3"/>
        <v>13.100000000000001</v>
      </c>
      <c r="V28" s="5">
        <f t="shared" si="4"/>
        <v>44.3</v>
      </c>
      <c r="W28" s="20" t="s">
        <v>34</v>
      </c>
    </row>
    <row r="29" spans="1:23" ht="12.75">
      <c r="A29" s="26">
        <v>614042</v>
      </c>
      <c r="B29" s="33" t="s">
        <v>162</v>
      </c>
      <c r="C29" s="33" t="s">
        <v>74</v>
      </c>
      <c r="D29" s="24">
        <v>1999</v>
      </c>
      <c r="E29" s="26" t="s">
        <v>161</v>
      </c>
      <c r="F29" s="27">
        <v>4</v>
      </c>
      <c r="G29" s="4">
        <f>SUM(10-(2.7+2.7)/2)</f>
        <v>7.3</v>
      </c>
      <c r="H29" s="4">
        <v>0</v>
      </c>
      <c r="I29" s="5">
        <f t="shared" si="0"/>
        <v>11.3</v>
      </c>
      <c r="J29" s="4">
        <v>2.8</v>
      </c>
      <c r="K29" s="4">
        <f>SUM(10-(2.2+1.7)/2)</f>
        <v>8.05</v>
      </c>
      <c r="L29" s="4">
        <v>1</v>
      </c>
      <c r="M29" s="5">
        <f t="shared" si="1"/>
        <v>9.850000000000001</v>
      </c>
      <c r="N29" s="4">
        <v>3</v>
      </c>
      <c r="O29" s="4">
        <f>SUM(10-(2.3+2.2)/2)</f>
        <v>7.75</v>
      </c>
      <c r="P29" s="4">
        <v>0</v>
      </c>
      <c r="Q29" s="5">
        <f t="shared" si="2"/>
        <v>10.75</v>
      </c>
      <c r="R29" s="4">
        <v>3.9</v>
      </c>
      <c r="S29" s="4">
        <f>SUM(10-(1.6+1.6)/2)</f>
        <v>8.4</v>
      </c>
      <c r="T29" s="4">
        <v>0</v>
      </c>
      <c r="U29" s="5">
        <f t="shared" si="3"/>
        <v>12.3</v>
      </c>
      <c r="V29" s="5">
        <f t="shared" si="4"/>
        <v>44.2</v>
      </c>
      <c r="W29" s="20" t="s">
        <v>35</v>
      </c>
    </row>
    <row r="30" spans="1:23" ht="12.75">
      <c r="A30" s="26">
        <v>525018</v>
      </c>
      <c r="B30" s="10" t="s">
        <v>236</v>
      </c>
      <c r="C30" s="10" t="s">
        <v>42</v>
      </c>
      <c r="D30" s="24">
        <v>2002</v>
      </c>
      <c r="E30" s="26" t="s">
        <v>251</v>
      </c>
      <c r="F30" s="4">
        <v>3.4</v>
      </c>
      <c r="G30" s="4">
        <f>SUM(10-(1.7+1.7)/2)</f>
        <v>8.3</v>
      </c>
      <c r="H30" s="4">
        <v>0</v>
      </c>
      <c r="I30" s="5">
        <f t="shared" si="0"/>
        <v>11.700000000000001</v>
      </c>
      <c r="J30" s="4">
        <v>3.8</v>
      </c>
      <c r="K30" s="4">
        <f>SUM(10-(3.6+3.8)/2)</f>
        <v>6.3</v>
      </c>
      <c r="L30" s="4">
        <v>0</v>
      </c>
      <c r="M30" s="5">
        <f t="shared" si="1"/>
        <v>10.1</v>
      </c>
      <c r="N30" s="4">
        <v>3.6</v>
      </c>
      <c r="O30" s="4">
        <f>SUM(10-(1.7+1.7)/2)</f>
        <v>8.3</v>
      </c>
      <c r="P30" s="4">
        <v>0</v>
      </c>
      <c r="Q30" s="5">
        <f t="shared" si="2"/>
        <v>11.9</v>
      </c>
      <c r="R30" s="4">
        <v>3.9</v>
      </c>
      <c r="S30" s="4">
        <f>SUM(10-(3.7+3.5)/2)</f>
        <v>6.4</v>
      </c>
      <c r="T30" s="4">
        <v>0</v>
      </c>
      <c r="U30" s="5">
        <f t="shared" si="3"/>
        <v>10.3</v>
      </c>
      <c r="V30" s="5">
        <f t="shared" si="4"/>
        <v>44</v>
      </c>
      <c r="W30" s="20" t="s">
        <v>36</v>
      </c>
    </row>
    <row r="31" spans="1:23" ht="12.75">
      <c r="A31" s="26">
        <v>761679</v>
      </c>
      <c r="B31" s="10" t="s">
        <v>99</v>
      </c>
      <c r="C31" s="10" t="s">
        <v>48</v>
      </c>
      <c r="D31" s="24">
        <v>2002</v>
      </c>
      <c r="E31" s="26" t="s">
        <v>72</v>
      </c>
      <c r="F31" s="4">
        <v>3.6</v>
      </c>
      <c r="G31" s="4">
        <f>SUM(10-(2.4+2.5)/2)</f>
        <v>7.55</v>
      </c>
      <c r="H31" s="4">
        <v>0</v>
      </c>
      <c r="I31" s="5">
        <f t="shared" si="0"/>
        <v>11.15</v>
      </c>
      <c r="J31" s="4">
        <v>1.8</v>
      </c>
      <c r="K31" s="4">
        <f>SUM(10-(2.3+2.5)/2)</f>
        <v>7.6</v>
      </c>
      <c r="L31" s="4">
        <v>1</v>
      </c>
      <c r="M31" s="5">
        <f t="shared" si="1"/>
        <v>8.4</v>
      </c>
      <c r="N31" s="4">
        <v>3.1</v>
      </c>
      <c r="O31" s="4">
        <f>SUM(10-(1.1+0.7)/2)</f>
        <v>9.1</v>
      </c>
      <c r="P31" s="4">
        <v>0</v>
      </c>
      <c r="Q31" s="5">
        <f t="shared" si="2"/>
        <v>12.2</v>
      </c>
      <c r="R31" s="4">
        <v>4.1</v>
      </c>
      <c r="S31" s="4">
        <f>SUM(10-(2+2)/2)</f>
        <v>8</v>
      </c>
      <c r="T31" s="4">
        <v>0</v>
      </c>
      <c r="U31" s="5">
        <f t="shared" si="3"/>
        <v>12.1</v>
      </c>
      <c r="V31" s="5">
        <f t="shared" si="4"/>
        <v>43.85</v>
      </c>
      <c r="W31" s="20" t="s">
        <v>37</v>
      </c>
    </row>
    <row r="32" spans="1:23" ht="12.75">
      <c r="A32" s="26">
        <v>550072</v>
      </c>
      <c r="B32" s="49" t="s">
        <v>382</v>
      </c>
      <c r="C32" s="49" t="s">
        <v>383</v>
      </c>
      <c r="D32" s="24">
        <v>2001</v>
      </c>
      <c r="E32" s="26" t="s">
        <v>384</v>
      </c>
      <c r="F32" s="47">
        <v>4</v>
      </c>
      <c r="G32" s="4">
        <f>SUM(10-(2.7+2.8)/2)</f>
        <v>7.25</v>
      </c>
      <c r="H32" s="4">
        <v>0</v>
      </c>
      <c r="I32" s="5">
        <f t="shared" si="0"/>
        <v>11.25</v>
      </c>
      <c r="J32" s="4">
        <v>3.8</v>
      </c>
      <c r="K32" s="4">
        <f>SUM(10-(3.6+3.3)/2)</f>
        <v>6.55</v>
      </c>
      <c r="L32" s="4">
        <v>0</v>
      </c>
      <c r="M32" s="5">
        <f t="shared" si="1"/>
        <v>10.35</v>
      </c>
      <c r="N32" s="4">
        <v>4.1</v>
      </c>
      <c r="O32" s="4">
        <f>SUM(10-(3.1+3)/2)</f>
        <v>6.95</v>
      </c>
      <c r="P32" s="4">
        <v>0</v>
      </c>
      <c r="Q32" s="5">
        <f t="shared" si="2"/>
        <v>11.05</v>
      </c>
      <c r="R32" s="4">
        <v>4.5</v>
      </c>
      <c r="S32" s="4">
        <f>SUM(10-(3.5+3.2)/2)</f>
        <v>6.65</v>
      </c>
      <c r="T32" s="4">
        <v>0</v>
      </c>
      <c r="U32" s="5">
        <f t="shared" si="3"/>
        <v>11.15</v>
      </c>
      <c r="V32" s="5">
        <f t="shared" si="4"/>
        <v>43.800000000000004</v>
      </c>
      <c r="W32" s="20" t="s">
        <v>32</v>
      </c>
    </row>
    <row r="33" spans="1:23" ht="12.75">
      <c r="A33" s="26">
        <v>539607</v>
      </c>
      <c r="B33" s="33" t="s">
        <v>178</v>
      </c>
      <c r="C33" s="33" t="s">
        <v>70</v>
      </c>
      <c r="D33" s="24">
        <v>2002</v>
      </c>
      <c r="E33" s="26" t="s">
        <v>202</v>
      </c>
      <c r="F33" s="4">
        <v>3.4</v>
      </c>
      <c r="G33" s="4">
        <f>SUM(10-(1.6+1.6)/2)</f>
        <v>8.4</v>
      </c>
      <c r="H33" s="4">
        <v>0</v>
      </c>
      <c r="I33" s="5">
        <f t="shared" si="0"/>
        <v>11.8</v>
      </c>
      <c r="J33" s="4">
        <v>3.2</v>
      </c>
      <c r="K33" s="4">
        <f>SUM(10-(2.8+2.3)/2)</f>
        <v>7.45</v>
      </c>
      <c r="L33" s="4">
        <v>0</v>
      </c>
      <c r="M33" s="5">
        <f t="shared" si="1"/>
        <v>10.65</v>
      </c>
      <c r="N33" s="4">
        <v>3.4</v>
      </c>
      <c r="O33" s="4">
        <f>SUM(10-(3.9+4.3)/2)</f>
        <v>5.9</v>
      </c>
      <c r="P33" s="4">
        <v>0</v>
      </c>
      <c r="Q33" s="5">
        <f t="shared" si="2"/>
        <v>9.3</v>
      </c>
      <c r="R33" s="4">
        <v>4.7</v>
      </c>
      <c r="S33" s="4">
        <f>SUM(10-(2.9+2.5)/2)</f>
        <v>7.3</v>
      </c>
      <c r="T33" s="4">
        <v>0</v>
      </c>
      <c r="U33" s="5">
        <f t="shared" si="3"/>
        <v>12</v>
      </c>
      <c r="V33" s="5">
        <f t="shared" si="4"/>
        <v>43.75</v>
      </c>
      <c r="W33" s="20" t="s">
        <v>33</v>
      </c>
    </row>
    <row r="34" spans="1:23" ht="12.75">
      <c r="A34" s="26">
        <v>526703</v>
      </c>
      <c r="B34" s="10" t="s">
        <v>172</v>
      </c>
      <c r="C34" s="10" t="s">
        <v>60</v>
      </c>
      <c r="D34" s="24">
        <v>1999</v>
      </c>
      <c r="E34" s="26" t="s">
        <v>103</v>
      </c>
      <c r="F34" s="4">
        <v>4</v>
      </c>
      <c r="G34" s="4">
        <f>SUM(10-(2.5+2.3)/2)</f>
        <v>7.6</v>
      </c>
      <c r="H34" s="4">
        <v>0</v>
      </c>
      <c r="I34" s="5">
        <f t="shared" si="0"/>
        <v>11.6</v>
      </c>
      <c r="J34" s="4">
        <v>3</v>
      </c>
      <c r="K34" s="4">
        <f>SUM(10-(2.6+2.4)/2)</f>
        <v>7.5</v>
      </c>
      <c r="L34" s="4">
        <v>0</v>
      </c>
      <c r="M34" s="5">
        <f t="shared" si="1"/>
        <v>10.5</v>
      </c>
      <c r="N34" s="4">
        <v>3.3</v>
      </c>
      <c r="O34" s="4">
        <f>SUM(10-(3.9+4.3)/2)</f>
        <v>5.9</v>
      </c>
      <c r="P34" s="4">
        <v>0</v>
      </c>
      <c r="Q34" s="5">
        <f t="shared" si="2"/>
        <v>9.2</v>
      </c>
      <c r="R34" s="4">
        <v>4.9</v>
      </c>
      <c r="S34" s="4">
        <f>SUM(10-(2.8+2.4)/2)</f>
        <v>7.4</v>
      </c>
      <c r="T34" s="4">
        <v>0</v>
      </c>
      <c r="U34" s="5">
        <f t="shared" si="3"/>
        <v>12.3</v>
      </c>
      <c r="V34" s="5">
        <f t="shared" si="4"/>
        <v>43.6</v>
      </c>
      <c r="W34" s="20" t="s">
        <v>38</v>
      </c>
    </row>
    <row r="35" spans="1:23" ht="12.75">
      <c r="A35" s="26">
        <v>699847</v>
      </c>
      <c r="B35" s="10" t="s">
        <v>207</v>
      </c>
      <c r="C35" s="10" t="s">
        <v>208</v>
      </c>
      <c r="D35" s="24">
        <v>2002</v>
      </c>
      <c r="E35" s="26" t="s">
        <v>62</v>
      </c>
      <c r="F35" s="47">
        <v>3.4</v>
      </c>
      <c r="G35" s="4">
        <f>SUM(10-(2.3+2.2)/2)</f>
        <v>7.75</v>
      </c>
      <c r="H35" s="4">
        <v>0</v>
      </c>
      <c r="I35" s="5">
        <f t="shared" si="0"/>
        <v>11.15</v>
      </c>
      <c r="J35" s="4">
        <v>3.1</v>
      </c>
      <c r="K35" s="4">
        <f>SUM(10-(2.7+2.3)/2)</f>
        <v>7.5</v>
      </c>
      <c r="L35" s="4">
        <v>0</v>
      </c>
      <c r="M35" s="5">
        <f t="shared" si="1"/>
        <v>10.6</v>
      </c>
      <c r="N35" s="4">
        <v>3.1</v>
      </c>
      <c r="O35" s="4">
        <f>SUM(10-(3.1+2.9)/2)</f>
        <v>7</v>
      </c>
      <c r="P35" s="4">
        <v>0</v>
      </c>
      <c r="Q35" s="5">
        <f t="shared" si="2"/>
        <v>10.1</v>
      </c>
      <c r="R35" s="4">
        <v>4.2</v>
      </c>
      <c r="S35" s="4">
        <f>SUM(10-(2.6+2.4)/2)</f>
        <v>7.5</v>
      </c>
      <c r="T35" s="4">
        <v>0</v>
      </c>
      <c r="U35" s="5">
        <f t="shared" si="3"/>
        <v>11.7</v>
      </c>
      <c r="V35" s="5">
        <f t="shared" si="4"/>
        <v>43.55</v>
      </c>
      <c r="W35" s="20" t="s">
        <v>115</v>
      </c>
    </row>
    <row r="36" spans="1:23" ht="12.75">
      <c r="A36" s="26">
        <v>761469</v>
      </c>
      <c r="B36" s="10" t="s">
        <v>218</v>
      </c>
      <c r="C36" s="10" t="s">
        <v>78</v>
      </c>
      <c r="D36" s="24">
        <v>2002</v>
      </c>
      <c r="E36" s="26" t="s">
        <v>51</v>
      </c>
      <c r="F36" s="4">
        <v>3.4</v>
      </c>
      <c r="G36" s="4">
        <f>SUM(10-(2.4+2.3)/2)</f>
        <v>7.65</v>
      </c>
      <c r="H36" s="4">
        <v>0</v>
      </c>
      <c r="I36" s="5">
        <f t="shared" si="0"/>
        <v>11.05</v>
      </c>
      <c r="J36" s="4">
        <v>3</v>
      </c>
      <c r="K36" s="4">
        <f>SUM(10-(2.2+2)/2)</f>
        <v>7.9</v>
      </c>
      <c r="L36" s="4">
        <v>0</v>
      </c>
      <c r="M36" s="5">
        <f t="shared" si="1"/>
        <v>10.9</v>
      </c>
      <c r="N36" s="4">
        <v>2.4</v>
      </c>
      <c r="O36" s="4">
        <f>SUM(10-(2.6+2.6)/2)</f>
        <v>7.4</v>
      </c>
      <c r="P36" s="4">
        <v>0</v>
      </c>
      <c r="Q36" s="5">
        <f t="shared" si="2"/>
        <v>9.8</v>
      </c>
      <c r="R36" s="4">
        <v>4.3</v>
      </c>
      <c r="S36" s="4">
        <f>SUM(10-(2.7+2.5)/2)</f>
        <v>7.4</v>
      </c>
      <c r="T36" s="4">
        <v>0</v>
      </c>
      <c r="U36" s="5">
        <f t="shared" si="3"/>
        <v>11.7</v>
      </c>
      <c r="V36" s="5">
        <f t="shared" si="4"/>
        <v>43.45</v>
      </c>
      <c r="W36" s="20" t="s">
        <v>116</v>
      </c>
    </row>
    <row r="37" spans="1:23" ht="12.75">
      <c r="A37" s="26">
        <v>544334</v>
      </c>
      <c r="B37" s="10" t="s">
        <v>167</v>
      </c>
      <c r="C37" s="10" t="s">
        <v>168</v>
      </c>
      <c r="D37" s="24">
        <v>2002</v>
      </c>
      <c r="E37" s="26" t="s">
        <v>47</v>
      </c>
      <c r="F37" s="27">
        <v>3.4</v>
      </c>
      <c r="G37" s="4">
        <f>SUM(10-(1.9+2.3)/2)</f>
        <v>7.9</v>
      </c>
      <c r="H37" s="4">
        <v>0</v>
      </c>
      <c r="I37" s="5">
        <f t="shared" si="0"/>
        <v>11.3</v>
      </c>
      <c r="J37" s="4">
        <v>3.3</v>
      </c>
      <c r="K37" s="4">
        <f>SUM(10-(2.9+2.5)/2)</f>
        <v>7.3</v>
      </c>
      <c r="L37" s="4">
        <v>0</v>
      </c>
      <c r="M37" s="5">
        <f t="shared" si="1"/>
        <v>10.6</v>
      </c>
      <c r="N37" s="4">
        <v>3.8</v>
      </c>
      <c r="O37" s="4">
        <f>SUM(10-(5.3+5.5)/2)</f>
        <v>4.6</v>
      </c>
      <c r="P37" s="4">
        <v>0</v>
      </c>
      <c r="Q37" s="5">
        <f t="shared" si="2"/>
        <v>8.399999999999999</v>
      </c>
      <c r="R37" s="4">
        <v>4.2</v>
      </c>
      <c r="S37" s="4">
        <f>SUM(10-(1.2+1)/2)</f>
        <v>8.9</v>
      </c>
      <c r="T37" s="4">
        <v>0</v>
      </c>
      <c r="U37" s="5">
        <f t="shared" si="3"/>
        <v>13.100000000000001</v>
      </c>
      <c r="V37" s="5">
        <f t="shared" si="4"/>
        <v>43.4</v>
      </c>
      <c r="W37" s="20" t="s">
        <v>117</v>
      </c>
    </row>
    <row r="38" spans="1:23" ht="12.75">
      <c r="A38" s="26">
        <v>761418</v>
      </c>
      <c r="B38" s="10" t="s">
        <v>216</v>
      </c>
      <c r="C38" s="10" t="s">
        <v>217</v>
      </c>
      <c r="D38" s="24">
        <v>2002</v>
      </c>
      <c r="E38" s="26" t="s">
        <v>51</v>
      </c>
      <c r="F38" s="4">
        <v>4</v>
      </c>
      <c r="G38" s="4">
        <f>SUM(10-(2.8+3)/2)</f>
        <v>7.1</v>
      </c>
      <c r="H38" s="4">
        <v>0</v>
      </c>
      <c r="I38" s="5">
        <f t="shared" si="0"/>
        <v>11.1</v>
      </c>
      <c r="J38" s="4">
        <v>3</v>
      </c>
      <c r="K38" s="4">
        <f>SUM(10-(2.6+2.5)/2)</f>
        <v>7.45</v>
      </c>
      <c r="L38" s="4">
        <v>0</v>
      </c>
      <c r="M38" s="5">
        <f t="shared" si="1"/>
        <v>10.45</v>
      </c>
      <c r="N38" s="4">
        <v>3.1</v>
      </c>
      <c r="O38" s="4">
        <f>SUM(10-(3.2+3.4)/2)</f>
        <v>6.7</v>
      </c>
      <c r="P38" s="4">
        <v>0</v>
      </c>
      <c r="Q38" s="5">
        <f t="shared" si="2"/>
        <v>9.8</v>
      </c>
      <c r="R38" s="4">
        <v>3.8</v>
      </c>
      <c r="S38" s="4">
        <f>SUM(10-(2.1+2)/2)</f>
        <v>7.95</v>
      </c>
      <c r="T38" s="4">
        <v>0</v>
      </c>
      <c r="U38" s="5">
        <f t="shared" si="3"/>
        <v>11.75</v>
      </c>
      <c r="V38" s="5">
        <f t="shared" si="4"/>
        <v>43.099999999999994</v>
      </c>
      <c r="W38" s="20" t="s">
        <v>118</v>
      </c>
    </row>
    <row r="39" spans="1:23" ht="12.75">
      <c r="A39" s="26">
        <v>646011</v>
      </c>
      <c r="B39" s="10" t="s">
        <v>244</v>
      </c>
      <c r="C39" s="10" t="s">
        <v>245</v>
      </c>
      <c r="D39" s="24">
        <v>2002</v>
      </c>
      <c r="E39" s="26" t="s">
        <v>64</v>
      </c>
      <c r="F39" s="4">
        <v>3.4</v>
      </c>
      <c r="G39" s="4">
        <f>SUM(10-(2.5+2.3)/2)</f>
        <v>7.6</v>
      </c>
      <c r="H39" s="4">
        <v>0</v>
      </c>
      <c r="I39" s="5">
        <f t="shared" si="0"/>
        <v>11</v>
      </c>
      <c r="J39" s="4">
        <v>2.9</v>
      </c>
      <c r="K39" s="4">
        <f>SUM(10-(1.8+2)/2)</f>
        <v>8.1</v>
      </c>
      <c r="L39" s="4">
        <v>0</v>
      </c>
      <c r="M39" s="5">
        <f t="shared" si="1"/>
        <v>11</v>
      </c>
      <c r="N39" s="4">
        <v>3.5</v>
      </c>
      <c r="O39" s="4">
        <f>SUM(10-(4+4.4)/2)</f>
        <v>5.8</v>
      </c>
      <c r="P39" s="4">
        <v>0</v>
      </c>
      <c r="Q39" s="5">
        <f t="shared" si="2"/>
        <v>9.3</v>
      </c>
      <c r="R39" s="4">
        <v>4.3</v>
      </c>
      <c r="S39" s="4">
        <f>SUM(10-(2.6+2.7)/2)</f>
        <v>7.35</v>
      </c>
      <c r="T39" s="4">
        <v>0</v>
      </c>
      <c r="U39" s="5">
        <f t="shared" si="3"/>
        <v>11.649999999999999</v>
      </c>
      <c r="V39" s="5">
        <f t="shared" si="4"/>
        <v>42.95</v>
      </c>
      <c r="W39" s="20" t="s">
        <v>119</v>
      </c>
    </row>
    <row r="40" spans="1:23" ht="12.75">
      <c r="A40" s="26">
        <v>548240</v>
      </c>
      <c r="B40" s="10" t="s">
        <v>192</v>
      </c>
      <c r="C40" s="10" t="s">
        <v>75</v>
      </c>
      <c r="D40" s="24">
        <v>2001</v>
      </c>
      <c r="E40" s="26" t="s">
        <v>193</v>
      </c>
      <c r="F40" s="4">
        <v>4</v>
      </c>
      <c r="G40" s="4">
        <f>SUM(10-(3.4+3.1)/2)</f>
        <v>6.75</v>
      </c>
      <c r="H40" s="4">
        <v>0</v>
      </c>
      <c r="I40" s="5">
        <f t="shared" si="0"/>
        <v>10.75</v>
      </c>
      <c r="J40" s="4">
        <v>3.9</v>
      </c>
      <c r="K40" s="4">
        <f>SUM(10-(3+2.7)/2)</f>
        <v>7.15</v>
      </c>
      <c r="L40" s="4">
        <v>0</v>
      </c>
      <c r="M40" s="5">
        <f t="shared" si="1"/>
        <v>11.05</v>
      </c>
      <c r="N40" s="4">
        <v>4.3</v>
      </c>
      <c r="O40" s="4">
        <f>SUM(10-(3.7+3.5)/2)</f>
        <v>6.4</v>
      </c>
      <c r="P40" s="4">
        <v>0</v>
      </c>
      <c r="Q40" s="5">
        <f t="shared" si="2"/>
        <v>10.7</v>
      </c>
      <c r="R40" s="4">
        <v>4.7</v>
      </c>
      <c r="S40" s="4">
        <f>SUM(10-(4.5+4.3)/2)</f>
        <v>5.6</v>
      </c>
      <c r="T40" s="4">
        <v>0</v>
      </c>
      <c r="U40" s="5">
        <f t="shared" si="3"/>
        <v>10.3</v>
      </c>
      <c r="V40" s="5">
        <f t="shared" si="4"/>
        <v>42.8</v>
      </c>
      <c r="W40" s="20" t="s">
        <v>120</v>
      </c>
    </row>
    <row r="41" spans="1:23" ht="12.75">
      <c r="A41" s="26">
        <v>616216</v>
      </c>
      <c r="B41" s="10" t="s">
        <v>206</v>
      </c>
      <c r="C41" s="10" t="s">
        <v>42</v>
      </c>
      <c r="D41" s="24">
        <v>2000</v>
      </c>
      <c r="E41" s="26" t="s">
        <v>62</v>
      </c>
      <c r="F41" s="47">
        <v>4</v>
      </c>
      <c r="G41" s="4">
        <f>SUM(10-(2.6+2.2)/2)</f>
        <v>7.6</v>
      </c>
      <c r="H41" s="4">
        <v>0</v>
      </c>
      <c r="I41" s="5">
        <f aca="true" t="shared" si="5" ref="I41:I58">SUM(F41+G41-H41)</f>
        <v>11.6</v>
      </c>
      <c r="J41" s="4">
        <v>3.2</v>
      </c>
      <c r="K41" s="4">
        <f>SUM(10-(2.4+2.5)/2)</f>
        <v>7.55</v>
      </c>
      <c r="L41" s="4">
        <v>0</v>
      </c>
      <c r="M41" s="5">
        <f aca="true" t="shared" si="6" ref="M41:M61">SUM(J41+K41-L41)</f>
        <v>10.75</v>
      </c>
      <c r="N41" s="4">
        <v>2.5</v>
      </c>
      <c r="O41" s="4">
        <f>SUM(10-(2.6+2.9)/2)</f>
        <v>7.25</v>
      </c>
      <c r="P41" s="4">
        <v>0</v>
      </c>
      <c r="Q41" s="5">
        <f aca="true" t="shared" si="7" ref="Q41:Q59">SUM(N41+O41-P41)</f>
        <v>9.75</v>
      </c>
      <c r="R41" s="4">
        <v>4.9</v>
      </c>
      <c r="S41" s="4">
        <f>SUM(10-(4.5+4.2)/2)</f>
        <v>5.65</v>
      </c>
      <c r="T41" s="4">
        <v>0</v>
      </c>
      <c r="U41" s="5">
        <f aca="true" t="shared" si="8" ref="U41:U58">SUM(R41+S41-T41)</f>
        <v>10.55</v>
      </c>
      <c r="V41" s="5">
        <f aca="true" t="shared" si="9" ref="V41:V64">SUM(I41+M41+Q41+U41)</f>
        <v>42.650000000000006</v>
      </c>
      <c r="W41" s="20" t="s">
        <v>121</v>
      </c>
    </row>
    <row r="42" spans="1:23" ht="12.75">
      <c r="A42" s="26">
        <v>82997</v>
      </c>
      <c r="B42" s="10" t="s">
        <v>221</v>
      </c>
      <c r="C42" s="10" t="s">
        <v>222</v>
      </c>
      <c r="D42" s="24">
        <v>2001</v>
      </c>
      <c r="E42" s="26" t="s">
        <v>51</v>
      </c>
      <c r="F42" s="4">
        <v>3.4</v>
      </c>
      <c r="G42" s="4">
        <f>SUM(10-(3.5+3.2)/2)</f>
        <v>6.65</v>
      </c>
      <c r="H42" s="4">
        <v>0</v>
      </c>
      <c r="I42" s="5">
        <f t="shared" si="5"/>
        <v>10.05</v>
      </c>
      <c r="J42" s="4">
        <v>2.9</v>
      </c>
      <c r="K42" s="4">
        <f>SUM(10-(2.6+2.1)/2)</f>
        <v>7.65</v>
      </c>
      <c r="L42" s="4">
        <v>0</v>
      </c>
      <c r="M42" s="5">
        <f t="shared" si="6"/>
        <v>10.55</v>
      </c>
      <c r="N42" s="4">
        <v>3.3</v>
      </c>
      <c r="O42" s="4">
        <f>SUM(10-(2+1.7)/2)</f>
        <v>8.15</v>
      </c>
      <c r="P42" s="4">
        <v>0</v>
      </c>
      <c r="Q42" s="5">
        <f t="shared" si="7"/>
        <v>11.45</v>
      </c>
      <c r="R42" s="4">
        <v>2.6</v>
      </c>
      <c r="S42" s="4">
        <f>SUM(10-(2+2.2)/2)</f>
        <v>7.9</v>
      </c>
      <c r="T42" s="4">
        <v>0</v>
      </c>
      <c r="U42" s="5">
        <f t="shared" si="8"/>
        <v>10.5</v>
      </c>
      <c r="V42" s="5">
        <f t="shared" si="9"/>
        <v>42.55</v>
      </c>
      <c r="W42" s="20" t="s">
        <v>122</v>
      </c>
    </row>
    <row r="43" spans="1:23" ht="12.75">
      <c r="A43" s="26">
        <v>554750</v>
      </c>
      <c r="B43" s="10" t="s">
        <v>194</v>
      </c>
      <c r="C43" s="10" t="s">
        <v>75</v>
      </c>
      <c r="D43" s="24">
        <v>2000</v>
      </c>
      <c r="E43" s="26" t="s">
        <v>43</v>
      </c>
      <c r="F43" s="4">
        <v>4</v>
      </c>
      <c r="G43" s="4">
        <f>SUM(10-(3+2.7)/2)</f>
        <v>7.15</v>
      </c>
      <c r="H43" s="4">
        <v>0</v>
      </c>
      <c r="I43" s="5">
        <f t="shared" si="5"/>
        <v>11.15</v>
      </c>
      <c r="J43" s="4">
        <v>3.9</v>
      </c>
      <c r="K43" s="4">
        <f>SUM(10-(2.8+2.4)/2)</f>
        <v>7.4</v>
      </c>
      <c r="L43" s="4">
        <v>0</v>
      </c>
      <c r="M43" s="5">
        <f t="shared" si="6"/>
        <v>11.3</v>
      </c>
      <c r="N43" s="4">
        <v>3.2</v>
      </c>
      <c r="O43" s="4">
        <f>SUM(10-(3.9+3.6)/2)</f>
        <v>6.25</v>
      </c>
      <c r="P43" s="4">
        <v>0</v>
      </c>
      <c r="Q43" s="5">
        <f t="shared" si="7"/>
        <v>9.45</v>
      </c>
      <c r="R43" s="4">
        <v>4.5</v>
      </c>
      <c r="S43" s="4">
        <f>SUM(10-(4+4.2)/2)</f>
        <v>5.9</v>
      </c>
      <c r="T43" s="4">
        <v>0</v>
      </c>
      <c r="U43" s="5">
        <f t="shared" si="8"/>
        <v>10.4</v>
      </c>
      <c r="V43" s="5">
        <f t="shared" si="9"/>
        <v>42.300000000000004</v>
      </c>
      <c r="W43" s="20" t="s">
        <v>123</v>
      </c>
    </row>
    <row r="44" spans="1:23" ht="12.75">
      <c r="A44" s="26">
        <v>551937</v>
      </c>
      <c r="B44" s="10" t="s">
        <v>230</v>
      </c>
      <c r="C44" s="10" t="s">
        <v>231</v>
      </c>
      <c r="D44" s="24">
        <v>2000</v>
      </c>
      <c r="E44" s="26" t="s">
        <v>250</v>
      </c>
      <c r="F44" s="4">
        <v>3.8</v>
      </c>
      <c r="G44" s="4">
        <f>SUM(10-(1.5+1.6)/2)</f>
        <v>8.45</v>
      </c>
      <c r="H44" s="4">
        <v>0</v>
      </c>
      <c r="I44" s="5">
        <f t="shared" si="5"/>
        <v>12.25</v>
      </c>
      <c r="J44" s="4">
        <v>4.1</v>
      </c>
      <c r="K44" s="4">
        <f>SUM(10-(3.4+3.2)/2)</f>
        <v>6.7</v>
      </c>
      <c r="L44" s="4">
        <v>0</v>
      </c>
      <c r="M44" s="5">
        <f t="shared" si="6"/>
        <v>10.8</v>
      </c>
      <c r="N44" s="4">
        <v>4.1</v>
      </c>
      <c r="O44" s="4">
        <f>SUM(10-(6.5+6.5)/2)</f>
        <v>3.5</v>
      </c>
      <c r="P44" s="4">
        <v>0</v>
      </c>
      <c r="Q44" s="5">
        <f t="shared" si="7"/>
        <v>7.6</v>
      </c>
      <c r="R44" s="4">
        <v>4.3</v>
      </c>
      <c r="S44" s="4">
        <f>SUM(10-(2.9+3)/2)</f>
        <v>7.05</v>
      </c>
      <c r="T44" s="4">
        <v>0</v>
      </c>
      <c r="U44" s="5">
        <f t="shared" si="8"/>
        <v>11.35</v>
      </c>
      <c r="V44" s="5">
        <f t="shared" si="9"/>
        <v>42</v>
      </c>
      <c r="W44" s="20" t="s">
        <v>124</v>
      </c>
    </row>
    <row r="45" spans="1:23" ht="12.75">
      <c r="A45" s="26">
        <v>619836</v>
      </c>
      <c r="B45" s="49" t="s">
        <v>381</v>
      </c>
      <c r="C45" s="49" t="s">
        <v>57</v>
      </c>
      <c r="D45" s="24">
        <v>2001</v>
      </c>
      <c r="E45" s="26" t="s">
        <v>43</v>
      </c>
      <c r="F45" s="47">
        <v>4</v>
      </c>
      <c r="G45" s="4">
        <f>SUM(10-(2.7+2.4)/2)</f>
        <v>7.45</v>
      </c>
      <c r="H45" s="4">
        <v>0</v>
      </c>
      <c r="I45" s="5">
        <f t="shared" si="5"/>
        <v>11.45</v>
      </c>
      <c r="J45" s="4">
        <v>3.9</v>
      </c>
      <c r="K45" s="4">
        <f>SUM(10-(3.5+3.1)/2)</f>
        <v>6.7</v>
      </c>
      <c r="L45" s="4">
        <v>0</v>
      </c>
      <c r="M45" s="5">
        <f t="shared" si="6"/>
        <v>10.6</v>
      </c>
      <c r="N45" s="4">
        <v>3.4</v>
      </c>
      <c r="O45" s="4">
        <f>SUM(10-(5.1+5.4)/2)</f>
        <v>4.75</v>
      </c>
      <c r="P45" s="4">
        <v>0</v>
      </c>
      <c r="Q45" s="5">
        <f t="shared" si="7"/>
        <v>8.15</v>
      </c>
      <c r="R45" s="4">
        <v>4.5</v>
      </c>
      <c r="S45" s="4">
        <f>SUM(10-(2.9+2.7)/2)</f>
        <v>7.2</v>
      </c>
      <c r="T45" s="4">
        <v>0</v>
      </c>
      <c r="U45" s="5">
        <f t="shared" si="8"/>
        <v>11.7</v>
      </c>
      <c r="V45" s="5">
        <f t="shared" si="9"/>
        <v>41.89999999999999</v>
      </c>
      <c r="W45" s="20" t="s">
        <v>125</v>
      </c>
    </row>
    <row r="46" spans="1:23" ht="12.75">
      <c r="A46" s="26">
        <v>576923</v>
      </c>
      <c r="B46" s="10" t="s">
        <v>163</v>
      </c>
      <c r="C46" s="10" t="s">
        <v>89</v>
      </c>
      <c r="D46" s="24">
        <v>2002</v>
      </c>
      <c r="E46" s="26" t="s">
        <v>97</v>
      </c>
      <c r="F46" s="27">
        <v>3.4</v>
      </c>
      <c r="G46" s="4">
        <f>SUM(10-(2.3+2.5)/2)</f>
        <v>7.6</v>
      </c>
      <c r="H46" s="4">
        <v>0</v>
      </c>
      <c r="I46" s="5">
        <f t="shared" si="5"/>
        <v>11</v>
      </c>
      <c r="J46" s="4">
        <v>3.2</v>
      </c>
      <c r="K46" s="4">
        <f>SUM(10-(2.5+2.7)/2)</f>
        <v>7.4</v>
      </c>
      <c r="L46" s="4">
        <v>0</v>
      </c>
      <c r="M46" s="5">
        <f t="shared" si="6"/>
        <v>10.600000000000001</v>
      </c>
      <c r="N46" s="4">
        <v>3.6</v>
      </c>
      <c r="O46" s="4">
        <f>SUM(10-(5.1+5.3)/2)</f>
        <v>4.800000000000001</v>
      </c>
      <c r="P46" s="4">
        <v>0</v>
      </c>
      <c r="Q46" s="5">
        <f t="shared" si="7"/>
        <v>8.4</v>
      </c>
      <c r="R46" s="4">
        <v>5.1</v>
      </c>
      <c r="S46" s="4">
        <f>SUM(10-(3.7+3.5)/2)</f>
        <v>6.4</v>
      </c>
      <c r="T46" s="4">
        <v>0</v>
      </c>
      <c r="U46" s="5">
        <f t="shared" si="8"/>
        <v>11.5</v>
      </c>
      <c r="V46" s="5">
        <f t="shared" si="9"/>
        <v>41.5</v>
      </c>
      <c r="W46" s="20" t="s">
        <v>126</v>
      </c>
    </row>
    <row r="47" spans="1:23" ht="12.75">
      <c r="A47" s="26">
        <v>507595</v>
      </c>
      <c r="B47" s="49" t="s">
        <v>385</v>
      </c>
      <c r="C47" s="49" t="s">
        <v>59</v>
      </c>
      <c r="D47" s="24">
        <v>1999</v>
      </c>
      <c r="E47" s="26" t="s">
        <v>62</v>
      </c>
      <c r="F47" s="47">
        <v>3.4</v>
      </c>
      <c r="G47" s="4">
        <f>SUM(10-(1.4+1.4)/2)</f>
        <v>8.6</v>
      </c>
      <c r="H47" s="4">
        <v>0</v>
      </c>
      <c r="I47" s="5">
        <f t="shared" si="5"/>
        <v>12</v>
      </c>
      <c r="J47" s="4">
        <v>1.3</v>
      </c>
      <c r="K47" s="4">
        <f>SUM(10-(1.8+1.5)/2)</f>
        <v>8.35</v>
      </c>
      <c r="L47" s="4">
        <v>2</v>
      </c>
      <c r="M47" s="5">
        <f t="shared" si="6"/>
        <v>7.65</v>
      </c>
      <c r="N47" s="4">
        <v>2.6</v>
      </c>
      <c r="O47" s="4">
        <f>SUM(10-(3.4+3)/2)</f>
        <v>6.8</v>
      </c>
      <c r="P47" s="4">
        <v>0</v>
      </c>
      <c r="Q47" s="5">
        <f t="shared" si="7"/>
        <v>9.4</v>
      </c>
      <c r="R47" s="4">
        <v>3.9</v>
      </c>
      <c r="S47" s="4">
        <f>SUM(10-(3+2.8)/2)</f>
        <v>7.1</v>
      </c>
      <c r="T47" s="4">
        <v>0</v>
      </c>
      <c r="U47" s="5">
        <f t="shared" si="8"/>
        <v>11</v>
      </c>
      <c r="V47" s="5">
        <f t="shared" si="9"/>
        <v>40.05</v>
      </c>
      <c r="W47" s="20" t="s">
        <v>127</v>
      </c>
    </row>
    <row r="48" spans="1:23" ht="12.75">
      <c r="A48" s="26">
        <v>551048</v>
      </c>
      <c r="B48" s="10" t="s">
        <v>86</v>
      </c>
      <c r="C48" s="10" t="s">
        <v>171</v>
      </c>
      <c r="D48" s="24">
        <v>2001</v>
      </c>
      <c r="E48" s="26" t="s">
        <v>61</v>
      </c>
      <c r="F48" s="27">
        <v>3.4</v>
      </c>
      <c r="G48" s="4">
        <f>SUM(10-(2.6+2.5)/2)</f>
        <v>7.45</v>
      </c>
      <c r="H48" s="4">
        <v>0</v>
      </c>
      <c r="I48" s="5">
        <f t="shared" si="5"/>
        <v>10.85</v>
      </c>
      <c r="J48" s="4">
        <v>2.9</v>
      </c>
      <c r="K48" s="4">
        <f>SUM(10-(3.2+2.7)/2)</f>
        <v>7.05</v>
      </c>
      <c r="L48" s="4">
        <v>0</v>
      </c>
      <c r="M48" s="5">
        <f t="shared" si="6"/>
        <v>9.95</v>
      </c>
      <c r="N48" s="4">
        <v>2.9</v>
      </c>
      <c r="O48" s="4">
        <f>SUM(10-(3.4+3.6)/2)</f>
        <v>6.5</v>
      </c>
      <c r="P48" s="4">
        <v>1</v>
      </c>
      <c r="Q48" s="5">
        <f t="shared" si="7"/>
        <v>8.4</v>
      </c>
      <c r="R48" s="4">
        <v>3.6</v>
      </c>
      <c r="S48" s="4">
        <f>SUM(10-(3+3)/2)</f>
        <v>7</v>
      </c>
      <c r="T48" s="4">
        <v>0</v>
      </c>
      <c r="U48" s="5">
        <f t="shared" si="8"/>
        <v>10.6</v>
      </c>
      <c r="V48" s="5">
        <f t="shared" si="9"/>
        <v>39.8</v>
      </c>
      <c r="W48" s="20" t="s">
        <v>128</v>
      </c>
    </row>
    <row r="49" spans="1:23" ht="12.75">
      <c r="A49" s="26">
        <v>678239</v>
      </c>
      <c r="B49" s="56" t="s">
        <v>214</v>
      </c>
      <c r="C49" s="56" t="s">
        <v>107</v>
      </c>
      <c r="D49" s="24">
        <v>2000</v>
      </c>
      <c r="E49" s="57" t="s">
        <v>71</v>
      </c>
      <c r="F49" s="47">
        <v>4</v>
      </c>
      <c r="G49" s="4">
        <f>SUM(10-(2+2)/2)</f>
        <v>8</v>
      </c>
      <c r="H49" s="4">
        <v>0</v>
      </c>
      <c r="I49" s="5">
        <f t="shared" si="5"/>
        <v>12</v>
      </c>
      <c r="J49" s="4">
        <v>3.8</v>
      </c>
      <c r="K49" s="4">
        <f>SUM(10-(3.1+3)/2)</f>
        <v>6.95</v>
      </c>
      <c r="L49" s="4">
        <v>0</v>
      </c>
      <c r="M49" s="5">
        <f t="shared" si="6"/>
        <v>10.75</v>
      </c>
      <c r="N49" s="4">
        <v>3.1</v>
      </c>
      <c r="O49" s="4">
        <f>SUM(10-(6+6.4)/2)</f>
        <v>3.8</v>
      </c>
      <c r="P49" s="4">
        <v>0</v>
      </c>
      <c r="Q49" s="5">
        <f t="shared" si="7"/>
        <v>6.9</v>
      </c>
      <c r="R49" s="4">
        <v>4.3</v>
      </c>
      <c r="S49" s="4">
        <f>SUM(10-(4.5+4.2)/2)</f>
        <v>5.65</v>
      </c>
      <c r="T49" s="4">
        <v>0</v>
      </c>
      <c r="U49" s="5">
        <f t="shared" si="8"/>
        <v>9.95</v>
      </c>
      <c r="V49" s="5">
        <f t="shared" si="9"/>
        <v>39.599999999999994</v>
      </c>
      <c r="W49" s="20" t="s">
        <v>129</v>
      </c>
    </row>
    <row r="50" spans="1:23" ht="12.75">
      <c r="A50" s="26">
        <v>552897</v>
      </c>
      <c r="B50" s="10" t="s">
        <v>198</v>
      </c>
      <c r="C50" s="10" t="s">
        <v>48</v>
      </c>
      <c r="D50" s="24">
        <v>2002</v>
      </c>
      <c r="E50" s="26" t="s">
        <v>91</v>
      </c>
      <c r="F50" s="4">
        <v>3.4</v>
      </c>
      <c r="G50" s="4">
        <f>SUM(10-(3.1+3.3)/2)</f>
        <v>6.8</v>
      </c>
      <c r="H50" s="4">
        <v>0</v>
      </c>
      <c r="I50" s="5">
        <f t="shared" si="5"/>
        <v>10.2</v>
      </c>
      <c r="J50" s="4">
        <v>3</v>
      </c>
      <c r="K50" s="4">
        <f>SUM(10-(2.3+1.9)/2)</f>
        <v>7.9</v>
      </c>
      <c r="L50" s="4">
        <v>0</v>
      </c>
      <c r="M50" s="5">
        <f t="shared" si="6"/>
        <v>10.9</v>
      </c>
      <c r="N50" s="4">
        <v>2.7</v>
      </c>
      <c r="O50" s="4">
        <f>SUM(10-(4.8+4.9)/2)</f>
        <v>5.15</v>
      </c>
      <c r="P50" s="4">
        <v>0</v>
      </c>
      <c r="Q50" s="5">
        <f t="shared" si="7"/>
        <v>7.8500000000000005</v>
      </c>
      <c r="R50" s="4">
        <v>3.7</v>
      </c>
      <c r="S50" s="4">
        <f>SUM(10-(4+3.8)/2)</f>
        <v>6.1</v>
      </c>
      <c r="T50" s="4">
        <v>0</v>
      </c>
      <c r="U50" s="5">
        <f t="shared" si="8"/>
        <v>9.8</v>
      </c>
      <c r="V50" s="5">
        <f t="shared" si="9"/>
        <v>38.75</v>
      </c>
      <c r="W50" s="20" t="s">
        <v>130</v>
      </c>
    </row>
    <row r="51" spans="1:23" ht="12.75">
      <c r="A51" s="26">
        <v>576564</v>
      </c>
      <c r="B51" s="10" t="s">
        <v>209</v>
      </c>
      <c r="C51" s="10" t="s">
        <v>210</v>
      </c>
      <c r="D51" s="24">
        <v>2002</v>
      </c>
      <c r="E51" s="26" t="s">
        <v>211</v>
      </c>
      <c r="F51" s="47">
        <v>4</v>
      </c>
      <c r="G51" s="4">
        <f>SUM(10-(2.4+2)/2)</f>
        <v>7.8</v>
      </c>
      <c r="H51" s="4">
        <v>0</v>
      </c>
      <c r="I51" s="5">
        <f t="shared" si="5"/>
        <v>11.8</v>
      </c>
      <c r="J51" s="4">
        <v>3</v>
      </c>
      <c r="K51" s="4">
        <f>SUM(10-(3+2.5)/2)</f>
        <v>7.25</v>
      </c>
      <c r="L51" s="4">
        <v>0</v>
      </c>
      <c r="M51" s="5">
        <f t="shared" si="6"/>
        <v>10.25</v>
      </c>
      <c r="N51" s="4">
        <v>2.9</v>
      </c>
      <c r="O51" s="4">
        <f>SUM(10-(5.5+5.5)/2)</f>
        <v>4.5</v>
      </c>
      <c r="P51" s="4">
        <v>0</v>
      </c>
      <c r="Q51" s="5">
        <f t="shared" si="7"/>
        <v>7.4</v>
      </c>
      <c r="R51" s="4">
        <v>3.7</v>
      </c>
      <c r="S51" s="4">
        <f>SUM(10-(5.3+5.1)/2)</f>
        <v>4.800000000000001</v>
      </c>
      <c r="T51" s="4">
        <v>0</v>
      </c>
      <c r="U51" s="5">
        <f t="shared" si="8"/>
        <v>8.5</v>
      </c>
      <c r="V51" s="5">
        <f t="shared" si="9"/>
        <v>37.95</v>
      </c>
      <c r="W51" s="20" t="s">
        <v>131</v>
      </c>
    </row>
    <row r="52" spans="1:23" ht="12.75">
      <c r="A52" s="26">
        <v>820768</v>
      </c>
      <c r="B52" s="10" t="s">
        <v>228</v>
      </c>
      <c r="C52" s="15" t="s">
        <v>229</v>
      </c>
      <c r="D52" s="24">
        <v>2001</v>
      </c>
      <c r="E52" s="26" t="s">
        <v>250</v>
      </c>
      <c r="F52" s="4">
        <v>4</v>
      </c>
      <c r="G52" s="4">
        <f>SUM(10-(3+3.1)/2)</f>
        <v>6.95</v>
      </c>
      <c r="H52" s="4">
        <v>0</v>
      </c>
      <c r="I52" s="5">
        <f t="shared" si="5"/>
        <v>10.95</v>
      </c>
      <c r="J52" s="4">
        <v>3</v>
      </c>
      <c r="K52" s="4">
        <f>SUM(10-(2.1+2.2)/2)</f>
        <v>7.85</v>
      </c>
      <c r="L52" s="4">
        <v>0</v>
      </c>
      <c r="M52" s="5">
        <f t="shared" si="6"/>
        <v>10.85</v>
      </c>
      <c r="N52" s="4">
        <v>2.2</v>
      </c>
      <c r="O52" s="4">
        <f>SUM(10-(5.2+4.9)/2)</f>
        <v>4.949999999999999</v>
      </c>
      <c r="P52" s="4">
        <v>2</v>
      </c>
      <c r="Q52" s="5">
        <f t="shared" si="7"/>
        <v>5.1499999999999995</v>
      </c>
      <c r="R52" s="4">
        <v>4.1</v>
      </c>
      <c r="S52" s="4">
        <f>SUM(10-(3.3+3.3)/2)</f>
        <v>6.7</v>
      </c>
      <c r="T52" s="4">
        <v>0</v>
      </c>
      <c r="U52" s="5">
        <f t="shared" si="8"/>
        <v>10.8</v>
      </c>
      <c r="V52" s="5">
        <f t="shared" si="9"/>
        <v>37.75</v>
      </c>
      <c r="W52" s="20" t="s">
        <v>132</v>
      </c>
    </row>
    <row r="53" spans="1:23" ht="12.75">
      <c r="A53" s="26">
        <v>818233</v>
      </c>
      <c r="B53" s="10" t="s">
        <v>54</v>
      </c>
      <c r="C53" s="10" t="s">
        <v>212</v>
      </c>
      <c r="D53" s="24">
        <v>2002</v>
      </c>
      <c r="E53" s="26" t="s">
        <v>211</v>
      </c>
      <c r="F53" s="47">
        <v>3.4</v>
      </c>
      <c r="G53" s="4">
        <f>SUM(10-(2.4+2.3)/2)</f>
        <v>7.65</v>
      </c>
      <c r="H53" s="4">
        <v>0</v>
      </c>
      <c r="I53" s="5">
        <f t="shared" si="5"/>
        <v>11.05</v>
      </c>
      <c r="J53" s="4">
        <v>3</v>
      </c>
      <c r="K53" s="4">
        <f>SUM(10-(3.5+3)/2)</f>
        <v>6.75</v>
      </c>
      <c r="L53" s="4">
        <v>0</v>
      </c>
      <c r="M53" s="5">
        <f t="shared" si="6"/>
        <v>9.75</v>
      </c>
      <c r="N53" s="4">
        <v>3.9</v>
      </c>
      <c r="O53" s="4">
        <f>SUM(10-(7.1+7.3)/2)</f>
        <v>2.8000000000000007</v>
      </c>
      <c r="P53" s="4">
        <v>0</v>
      </c>
      <c r="Q53" s="5">
        <f t="shared" si="7"/>
        <v>6.700000000000001</v>
      </c>
      <c r="R53" s="4">
        <v>4.1</v>
      </c>
      <c r="S53" s="4">
        <f>SUM(10-(4.6+4.2)/2)</f>
        <v>5.6</v>
      </c>
      <c r="T53" s="4">
        <v>0</v>
      </c>
      <c r="U53" s="5">
        <f t="shared" si="8"/>
        <v>9.7</v>
      </c>
      <c r="V53" s="5">
        <f t="shared" si="9"/>
        <v>37.2</v>
      </c>
      <c r="W53" s="20" t="s">
        <v>133</v>
      </c>
    </row>
    <row r="54" spans="1:23" ht="12.75">
      <c r="A54" s="26">
        <v>678230</v>
      </c>
      <c r="B54" s="10" t="s">
        <v>44</v>
      </c>
      <c r="C54" s="10" t="s">
        <v>213</v>
      </c>
      <c r="D54" s="24">
        <v>2001</v>
      </c>
      <c r="E54" s="26" t="s">
        <v>211</v>
      </c>
      <c r="F54" s="47">
        <v>3.4</v>
      </c>
      <c r="G54" s="4">
        <f>SUM(10-(3+3.1)/2)</f>
        <v>6.95</v>
      </c>
      <c r="H54" s="4">
        <v>0</v>
      </c>
      <c r="I54" s="5">
        <f t="shared" si="5"/>
        <v>10.35</v>
      </c>
      <c r="J54" s="4">
        <v>3.1</v>
      </c>
      <c r="K54" s="4">
        <f>SUM(10-(2.8+2.8)/2)</f>
        <v>7.2</v>
      </c>
      <c r="L54" s="4">
        <v>0</v>
      </c>
      <c r="M54" s="5">
        <f t="shared" si="6"/>
        <v>10.3</v>
      </c>
      <c r="N54" s="4">
        <v>3.3</v>
      </c>
      <c r="O54" s="4">
        <f>SUM(10-(4.8+5)/2)</f>
        <v>5.1</v>
      </c>
      <c r="P54" s="4">
        <v>0</v>
      </c>
      <c r="Q54" s="5">
        <f t="shared" si="7"/>
        <v>8.399999999999999</v>
      </c>
      <c r="R54" s="4">
        <v>2.6</v>
      </c>
      <c r="S54" s="4">
        <f>SUM(10-(5+4.5)/2)</f>
        <v>5.25</v>
      </c>
      <c r="T54" s="4">
        <v>0</v>
      </c>
      <c r="U54" s="5">
        <f t="shared" si="8"/>
        <v>7.85</v>
      </c>
      <c r="V54" s="5">
        <f t="shared" si="9"/>
        <v>36.9</v>
      </c>
      <c r="W54" s="20" t="s">
        <v>134</v>
      </c>
    </row>
    <row r="55" spans="1:23" ht="12.75">
      <c r="A55" s="26">
        <v>666777</v>
      </c>
      <c r="B55" s="10" t="s">
        <v>108</v>
      </c>
      <c r="C55" s="10" t="s">
        <v>88</v>
      </c>
      <c r="D55" s="24">
        <v>2001</v>
      </c>
      <c r="E55" s="26" t="s">
        <v>250</v>
      </c>
      <c r="F55" s="4">
        <v>3.4</v>
      </c>
      <c r="G55" s="4">
        <f>SUM(10-(3.4+3.1)/2)</f>
        <v>6.75</v>
      </c>
      <c r="H55" s="4">
        <v>0</v>
      </c>
      <c r="I55" s="5">
        <f t="shared" si="5"/>
        <v>10.15</v>
      </c>
      <c r="J55" s="4">
        <v>2.2</v>
      </c>
      <c r="K55" s="4">
        <f>SUM(10-(3.2+2.9)/2)</f>
        <v>6.95</v>
      </c>
      <c r="L55" s="5">
        <v>1</v>
      </c>
      <c r="M55" s="5">
        <f t="shared" si="6"/>
        <v>8.15</v>
      </c>
      <c r="N55" s="4">
        <v>1.8</v>
      </c>
      <c r="O55" s="4">
        <f>SUM(10-(5.2+5.4)/2)</f>
        <v>4.699999999999999</v>
      </c>
      <c r="P55" s="4">
        <v>1.5</v>
      </c>
      <c r="Q55" s="5">
        <f t="shared" si="7"/>
        <v>4.999999999999999</v>
      </c>
      <c r="R55" s="4">
        <v>3.8</v>
      </c>
      <c r="S55" s="4">
        <f>SUM(10-(2.6+2.8)/2)</f>
        <v>7.3</v>
      </c>
      <c r="T55" s="4">
        <v>0</v>
      </c>
      <c r="U55" s="5">
        <f t="shared" si="8"/>
        <v>11.1</v>
      </c>
      <c r="V55" s="5">
        <f t="shared" si="9"/>
        <v>34.4</v>
      </c>
      <c r="W55" s="20" t="s">
        <v>135</v>
      </c>
    </row>
    <row r="56" spans="1:23" ht="12.75">
      <c r="A56" s="26">
        <v>817057</v>
      </c>
      <c r="B56" s="10" t="s">
        <v>186</v>
      </c>
      <c r="C56" s="10" t="s">
        <v>42</v>
      </c>
      <c r="D56" s="24">
        <v>2001</v>
      </c>
      <c r="E56" s="26" t="s">
        <v>81</v>
      </c>
      <c r="F56" s="4">
        <v>3.4</v>
      </c>
      <c r="G56" s="4">
        <f>SUM(10-(3.7+3.7)/2)</f>
        <v>6.3</v>
      </c>
      <c r="H56" s="4">
        <v>0</v>
      </c>
      <c r="I56" s="5">
        <f t="shared" si="5"/>
        <v>9.7</v>
      </c>
      <c r="J56" s="4">
        <v>2</v>
      </c>
      <c r="K56" s="4">
        <f>SUM(10-(3+2.8)/2)</f>
        <v>7.1</v>
      </c>
      <c r="L56" s="4">
        <v>3</v>
      </c>
      <c r="M56" s="5">
        <f t="shared" si="6"/>
        <v>6.1</v>
      </c>
      <c r="N56" s="4">
        <v>1.8</v>
      </c>
      <c r="O56" s="4">
        <f>SUM(10-(3.5+3.9)/2)</f>
        <v>6.3</v>
      </c>
      <c r="P56" s="4">
        <v>1</v>
      </c>
      <c r="Q56" s="5">
        <f t="shared" si="7"/>
        <v>7.1</v>
      </c>
      <c r="R56" s="4">
        <v>3.9</v>
      </c>
      <c r="S56" s="4">
        <f>SUM(10-(3.1+2.9)/2)</f>
        <v>7</v>
      </c>
      <c r="T56" s="4">
        <v>0</v>
      </c>
      <c r="U56" s="5">
        <f t="shared" si="8"/>
        <v>10.9</v>
      </c>
      <c r="V56" s="5">
        <f t="shared" si="9"/>
        <v>33.8</v>
      </c>
      <c r="W56" s="20" t="s">
        <v>136</v>
      </c>
    </row>
    <row r="57" spans="1:23" ht="12.75">
      <c r="A57" s="26">
        <v>817058</v>
      </c>
      <c r="B57" s="10" t="s">
        <v>185</v>
      </c>
      <c r="C57" s="10" t="s">
        <v>112</v>
      </c>
      <c r="D57" s="24">
        <v>2002</v>
      </c>
      <c r="E57" s="26" t="s">
        <v>81</v>
      </c>
      <c r="F57" s="4">
        <v>3.4</v>
      </c>
      <c r="G57" s="4">
        <f>SUM(10-(4.2+4.3)/2)</f>
        <v>5.75</v>
      </c>
      <c r="H57" s="4">
        <v>0</v>
      </c>
      <c r="I57" s="5">
        <f t="shared" si="5"/>
        <v>9.15</v>
      </c>
      <c r="J57" s="4">
        <v>2.1</v>
      </c>
      <c r="K57" s="4">
        <f>SUM(10-(2.6+2.7)/2)</f>
        <v>7.35</v>
      </c>
      <c r="L57" s="4">
        <v>2</v>
      </c>
      <c r="M57" s="5">
        <f t="shared" si="6"/>
        <v>7.449999999999999</v>
      </c>
      <c r="N57" s="4">
        <v>1.9</v>
      </c>
      <c r="O57" s="4">
        <f>SUM(10-(5.3+4.9)/2)</f>
        <v>4.9</v>
      </c>
      <c r="P57" s="4">
        <v>1</v>
      </c>
      <c r="Q57" s="5">
        <f t="shared" si="7"/>
        <v>5.800000000000001</v>
      </c>
      <c r="R57" s="4">
        <v>3</v>
      </c>
      <c r="S57" s="4">
        <f>SUM(10-(3.2+3.2)/2)</f>
        <v>6.8</v>
      </c>
      <c r="T57" s="4">
        <v>0</v>
      </c>
      <c r="U57" s="5">
        <f t="shared" si="8"/>
        <v>9.8</v>
      </c>
      <c r="V57" s="5">
        <f t="shared" si="9"/>
        <v>32.2</v>
      </c>
      <c r="W57" s="20" t="s">
        <v>137</v>
      </c>
    </row>
    <row r="58" spans="1:23" ht="12.75">
      <c r="A58" s="26">
        <v>616217</v>
      </c>
      <c r="B58" s="10" t="s">
        <v>205</v>
      </c>
      <c r="C58" s="10" t="s">
        <v>174</v>
      </c>
      <c r="D58" s="24">
        <v>2000</v>
      </c>
      <c r="E58" s="26" t="s">
        <v>62</v>
      </c>
      <c r="F58" s="47">
        <v>3.4</v>
      </c>
      <c r="G58" s="4">
        <f>SUM(10-(3.5+3.3)/2)</f>
        <v>6.6</v>
      </c>
      <c r="H58" s="4">
        <v>0</v>
      </c>
      <c r="I58" s="5">
        <f t="shared" si="5"/>
        <v>10</v>
      </c>
      <c r="J58" s="4">
        <v>1.3</v>
      </c>
      <c r="K58" s="4">
        <f>SUM(10-(4.7+4.6)/2)</f>
        <v>5.35</v>
      </c>
      <c r="L58" s="4">
        <v>4</v>
      </c>
      <c r="M58" s="5">
        <f t="shared" si="6"/>
        <v>2.6499999999999995</v>
      </c>
      <c r="N58" s="4">
        <v>2</v>
      </c>
      <c r="O58" s="4">
        <f>SUM(10-(4.3+4)/2)</f>
        <v>5.85</v>
      </c>
      <c r="P58" s="4">
        <v>0</v>
      </c>
      <c r="Q58" s="5">
        <f t="shared" si="7"/>
        <v>7.85</v>
      </c>
      <c r="R58" s="4">
        <v>3</v>
      </c>
      <c r="S58" s="4">
        <f>SUM(10-(3.5+3.5)/2)</f>
        <v>6.5</v>
      </c>
      <c r="T58" s="4">
        <v>0.3</v>
      </c>
      <c r="U58" s="5">
        <f t="shared" si="8"/>
        <v>9.2</v>
      </c>
      <c r="V58" s="5">
        <f t="shared" si="9"/>
        <v>29.7</v>
      </c>
      <c r="W58" s="20" t="s">
        <v>138</v>
      </c>
    </row>
    <row r="59" spans="1:23" ht="12.75">
      <c r="A59" s="26">
        <v>644379</v>
      </c>
      <c r="B59" s="10" t="s">
        <v>108</v>
      </c>
      <c r="C59" s="10" t="s">
        <v>105</v>
      </c>
      <c r="D59" s="24">
        <v>2001</v>
      </c>
      <c r="E59" s="26" t="s">
        <v>250</v>
      </c>
      <c r="F59" s="4">
        <v>0</v>
      </c>
      <c r="G59" s="4">
        <f>SUM(10-(0+0)/2)</f>
        <v>10</v>
      </c>
      <c r="H59" s="4">
        <v>0</v>
      </c>
      <c r="I59" s="5">
        <v>0</v>
      </c>
      <c r="J59" s="4">
        <v>3</v>
      </c>
      <c r="K59" s="4">
        <f>SUM(10-(1.9+2)/2)</f>
        <v>8.05</v>
      </c>
      <c r="L59" s="4">
        <v>0</v>
      </c>
      <c r="M59" s="5">
        <f t="shared" si="6"/>
        <v>11.05</v>
      </c>
      <c r="N59" s="4">
        <v>3.6</v>
      </c>
      <c r="O59" s="4">
        <f>SUM(10-(4.9+4.6)/2)</f>
        <v>5.25</v>
      </c>
      <c r="P59" s="4">
        <v>0</v>
      </c>
      <c r="Q59" s="5">
        <f t="shared" si="7"/>
        <v>8.85</v>
      </c>
      <c r="R59" s="4">
        <v>0</v>
      </c>
      <c r="S59" s="4">
        <f>SUM(10-(0+0)/2)</f>
        <v>10</v>
      </c>
      <c r="T59" s="4">
        <v>0</v>
      </c>
      <c r="U59" s="5">
        <v>0</v>
      </c>
      <c r="V59" s="5">
        <f t="shared" si="9"/>
        <v>19.9</v>
      </c>
      <c r="W59" s="20" t="s">
        <v>139</v>
      </c>
    </row>
    <row r="60" spans="1:23" ht="12.75">
      <c r="A60" s="26">
        <v>426864</v>
      </c>
      <c r="B60" s="10" t="s">
        <v>196</v>
      </c>
      <c r="C60" s="10" t="s">
        <v>197</v>
      </c>
      <c r="D60" s="24">
        <v>1999</v>
      </c>
      <c r="E60" s="26" t="s">
        <v>65</v>
      </c>
      <c r="F60" s="4">
        <v>4</v>
      </c>
      <c r="G60" s="4">
        <f>SUM(10-(4.4+4.5)/2)</f>
        <v>5.55</v>
      </c>
      <c r="H60" s="4">
        <v>0</v>
      </c>
      <c r="I60" s="5">
        <f>SUM(F60+G60-H60)</f>
        <v>9.55</v>
      </c>
      <c r="J60" s="4">
        <v>2.9</v>
      </c>
      <c r="K60" s="4">
        <f>SUM(10-(3.5+3.3)/2)</f>
        <v>6.6</v>
      </c>
      <c r="L60" s="4">
        <v>1</v>
      </c>
      <c r="M60" s="5">
        <f t="shared" si="6"/>
        <v>8.5</v>
      </c>
      <c r="N60" s="4">
        <v>0</v>
      </c>
      <c r="O60" s="4">
        <f>SUM(10-(0+0)/2)</f>
        <v>10</v>
      </c>
      <c r="P60" s="4">
        <v>0</v>
      </c>
      <c r="Q60" s="5">
        <v>0</v>
      </c>
      <c r="R60" s="4">
        <v>0</v>
      </c>
      <c r="S60" s="4">
        <f>SUM(10-(0+0)/2)</f>
        <v>10</v>
      </c>
      <c r="T60" s="4">
        <v>0</v>
      </c>
      <c r="U60" s="5">
        <v>0</v>
      </c>
      <c r="V60" s="5">
        <f t="shared" si="9"/>
        <v>18.05</v>
      </c>
      <c r="W60" s="20" t="s">
        <v>140</v>
      </c>
    </row>
    <row r="61" spans="1:23" ht="12.75">
      <c r="A61" s="26">
        <v>818033</v>
      </c>
      <c r="B61" s="10" t="s">
        <v>170</v>
      </c>
      <c r="C61" s="10" t="s">
        <v>100</v>
      </c>
      <c r="D61" s="24">
        <v>2001</v>
      </c>
      <c r="E61" s="26" t="s">
        <v>61</v>
      </c>
      <c r="F61" s="27">
        <v>0</v>
      </c>
      <c r="G61" s="4">
        <v>0</v>
      </c>
      <c r="H61" s="4">
        <v>0</v>
      </c>
      <c r="I61" s="5">
        <f>SUM(F61+G61-H61)</f>
        <v>0</v>
      </c>
      <c r="J61" s="4">
        <v>1</v>
      </c>
      <c r="K61" s="4">
        <f>SUM(10-(3.1+3.5)/2)</f>
        <v>6.7</v>
      </c>
      <c r="L61" s="4">
        <v>4</v>
      </c>
      <c r="M61" s="5">
        <f t="shared" si="6"/>
        <v>3.7</v>
      </c>
      <c r="N61" s="4">
        <v>1.6</v>
      </c>
      <c r="O61" s="4">
        <f>SUM(10-(5+4.7)/2)</f>
        <v>5.15</v>
      </c>
      <c r="P61" s="4">
        <v>2</v>
      </c>
      <c r="Q61" s="5">
        <f>SUM(N61+O61-P61)</f>
        <v>4.75</v>
      </c>
      <c r="R61" s="4">
        <v>2</v>
      </c>
      <c r="S61" s="4">
        <f>SUM(10-(3.5+3.8)/2)</f>
        <v>6.35</v>
      </c>
      <c r="T61" s="4">
        <v>0</v>
      </c>
      <c r="U61" s="5">
        <f>SUM(R61+S61-T61)</f>
        <v>8.35</v>
      </c>
      <c r="V61" s="5">
        <f t="shared" si="9"/>
        <v>16.799999999999997</v>
      </c>
      <c r="W61" s="20" t="s">
        <v>141</v>
      </c>
    </row>
    <row r="62" spans="1:23" ht="12.75">
      <c r="A62" s="26">
        <v>768151</v>
      </c>
      <c r="B62" s="10" t="s">
        <v>234</v>
      </c>
      <c r="C62" s="15" t="s">
        <v>235</v>
      </c>
      <c r="D62" s="24">
        <v>2001</v>
      </c>
      <c r="E62" s="26" t="s">
        <v>250</v>
      </c>
      <c r="F62" s="4">
        <v>4</v>
      </c>
      <c r="G62" s="4">
        <f>SUM(10-(2.8+3.4)/2)</f>
        <v>6.9</v>
      </c>
      <c r="H62" s="4">
        <v>0</v>
      </c>
      <c r="I62" s="5">
        <f>SUM(F62+G62-H62)</f>
        <v>10.9</v>
      </c>
      <c r="J62" s="4">
        <v>0</v>
      </c>
      <c r="K62" s="4">
        <f aca="true" t="shared" si="10" ref="K62:K77">SUM(10-(0+0)/2)</f>
        <v>10</v>
      </c>
      <c r="L62" s="4">
        <v>0</v>
      </c>
      <c r="M62" s="5">
        <v>0</v>
      </c>
      <c r="N62" s="4">
        <v>0</v>
      </c>
      <c r="O62" s="4">
        <f aca="true" t="shared" si="11" ref="O62:O77">SUM(10-(0+0)/2)</f>
        <v>10</v>
      </c>
      <c r="P62" s="4">
        <v>0</v>
      </c>
      <c r="Q62" s="5">
        <v>0</v>
      </c>
      <c r="R62" s="4">
        <v>0</v>
      </c>
      <c r="S62" s="4">
        <f aca="true" t="shared" si="12" ref="S62:S77">SUM(10-(0+0)/2)</f>
        <v>10</v>
      </c>
      <c r="T62" s="4">
        <v>0</v>
      </c>
      <c r="U62" s="5">
        <v>0</v>
      </c>
      <c r="V62" s="5">
        <f t="shared" si="9"/>
        <v>10.9</v>
      </c>
      <c r="W62" s="20" t="s">
        <v>142</v>
      </c>
    </row>
    <row r="63" spans="1:23" ht="12.75">
      <c r="A63" s="53">
        <v>626128</v>
      </c>
      <c r="B63" s="54" t="s">
        <v>159</v>
      </c>
      <c r="C63" s="54" t="s">
        <v>160</v>
      </c>
      <c r="D63" s="55">
        <v>2002</v>
      </c>
      <c r="E63" s="53" t="s">
        <v>161</v>
      </c>
      <c r="F63" s="27">
        <v>0</v>
      </c>
      <c r="G63" s="4">
        <f aca="true" t="shared" si="13" ref="G63:G77">SUM(10-(0+0)/2)</f>
        <v>10</v>
      </c>
      <c r="H63" s="4">
        <v>0</v>
      </c>
      <c r="I63" s="5">
        <v>0</v>
      </c>
      <c r="J63" s="4">
        <v>0</v>
      </c>
      <c r="K63" s="4">
        <f t="shared" si="10"/>
        <v>10</v>
      </c>
      <c r="L63" s="4">
        <v>0</v>
      </c>
      <c r="M63" s="5">
        <v>0</v>
      </c>
      <c r="N63" s="4">
        <v>0</v>
      </c>
      <c r="O63" s="4">
        <f t="shared" si="11"/>
        <v>10</v>
      </c>
      <c r="P63" s="4">
        <v>0</v>
      </c>
      <c r="Q63" s="5">
        <v>0</v>
      </c>
      <c r="R63" s="4">
        <v>0</v>
      </c>
      <c r="S63" s="4">
        <f t="shared" si="12"/>
        <v>10</v>
      </c>
      <c r="T63" s="4">
        <v>0</v>
      </c>
      <c r="U63" s="5">
        <v>0</v>
      </c>
      <c r="V63" s="5">
        <f t="shared" si="9"/>
        <v>0</v>
      </c>
      <c r="W63" s="20" t="s">
        <v>143</v>
      </c>
    </row>
    <row r="64" spans="1:23" ht="12.75">
      <c r="A64" s="53">
        <v>538111</v>
      </c>
      <c r="B64" s="54" t="s">
        <v>173</v>
      </c>
      <c r="C64" s="54" t="s">
        <v>174</v>
      </c>
      <c r="D64" s="55">
        <v>2002</v>
      </c>
      <c r="E64" s="53" t="s">
        <v>103</v>
      </c>
      <c r="F64" s="4">
        <v>0</v>
      </c>
      <c r="G64" s="4">
        <f t="shared" si="13"/>
        <v>10</v>
      </c>
      <c r="H64" s="4">
        <v>0</v>
      </c>
      <c r="I64" s="5">
        <v>0</v>
      </c>
      <c r="J64" s="4">
        <v>0</v>
      </c>
      <c r="K64" s="4">
        <f t="shared" si="10"/>
        <v>10</v>
      </c>
      <c r="L64" s="4">
        <v>0</v>
      </c>
      <c r="M64" s="5">
        <v>0</v>
      </c>
      <c r="N64" s="4">
        <v>0</v>
      </c>
      <c r="O64" s="4">
        <f t="shared" si="11"/>
        <v>10</v>
      </c>
      <c r="P64" s="4">
        <v>0</v>
      </c>
      <c r="Q64" s="5">
        <v>0</v>
      </c>
      <c r="R64" s="4">
        <v>0</v>
      </c>
      <c r="S64" s="4">
        <f t="shared" si="12"/>
        <v>10</v>
      </c>
      <c r="T64" s="4">
        <v>0</v>
      </c>
      <c r="U64" s="5">
        <v>0</v>
      </c>
      <c r="V64" s="5">
        <f t="shared" si="9"/>
        <v>0</v>
      </c>
      <c r="W64" s="20" t="s">
        <v>144</v>
      </c>
    </row>
    <row r="65" spans="1:23" ht="12.75">
      <c r="A65" s="53">
        <v>539608</v>
      </c>
      <c r="B65" s="54" t="s">
        <v>178</v>
      </c>
      <c r="C65" s="54" t="s">
        <v>112</v>
      </c>
      <c r="D65" s="55">
        <v>1999</v>
      </c>
      <c r="E65" s="53" t="s">
        <v>202</v>
      </c>
      <c r="F65" s="4">
        <v>0</v>
      </c>
      <c r="G65" s="4">
        <f t="shared" si="13"/>
        <v>10</v>
      </c>
      <c r="H65" s="4">
        <v>0</v>
      </c>
      <c r="I65" s="5">
        <v>0</v>
      </c>
      <c r="J65" s="4">
        <v>0</v>
      </c>
      <c r="K65" s="4">
        <f t="shared" si="10"/>
        <v>10</v>
      </c>
      <c r="L65" s="4">
        <v>0</v>
      </c>
      <c r="M65" s="5">
        <v>0</v>
      </c>
      <c r="N65" s="4">
        <v>0</v>
      </c>
      <c r="O65" s="4">
        <f t="shared" si="11"/>
        <v>10</v>
      </c>
      <c r="P65" s="4">
        <v>0</v>
      </c>
      <c r="Q65" s="5">
        <v>0</v>
      </c>
      <c r="R65" s="4">
        <v>0</v>
      </c>
      <c r="S65" s="4">
        <f t="shared" si="12"/>
        <v>10</v>
      </c>
      <c r="T65" s="4">
        <v>0</v>
      </c>
      <c r="U65" s="5">
        <v>0</v>
      </c>
      <c r="V65" s="5">
        <v>0</v>
      </c>
      <c r="W65" s="20" t="s">
        <v>145</v>
      </c>
    </row>
    <row r="66" spans="1:23" ht="12.75">
      <c r="A66" s="53">
        <v>547322</v>
      </c>
      <c r="B66" s="54" t="s">
        <v>181</v>
      </c>
      <c r="C66" s="54" t="s">
        <v>79</v>
      </c>
      <c r="D66" s="55">
        <v>2001</v>
      </c>
      <c r="E66" s="53" t="s">
        <v>50</v>
      </c>
      <c r="F66" s="4">
        <v>0</v>
      </c>
      <c r="G66" s="4">
        <f t="shared" si="13"/>
        <v>10</v>
      </c>
      <c r="H66" s="4">
        <v>0</v>
      </c>
      <c r="I66" s="5">
        <v>0</v>
      </c>
      <c r="J66" s="4">
        <v>0</v>
      </c>
      <c r="K66" s="4">
        <f t="shared" si="10"/>
        <v>10</v>
      </c>
      <c r="L66" s="4">
        <v>0</v>
      </c>
      <c r="M66" s="5">
        <v>0</v>
      </c>
      <c r="N66" s="4">
        <v>0</v>
      </c>
      <c r="O66" s="4">
        <f t="shared" si="11"/>
        <v>10</v>
      </c>
      <c r="P66" s="4">
        <v>0</v>
      </c>
      <c r="Q66" s="5">
        <v>0</v>
      </c>
      <c r="R66" s="4">
        <v>0</v>
      </c>
      <c r="S66" s="4">
        <f t="shared" si="12"/>
        <v>10</v>
      </c>
      <c r="T66" s="4">
        <v>0</v>
      </c>
      <c r="U66" s="5">
        <v>0</v>
      </c>
      <c r="V66" s="5">
        <f>SUM(I66+M66+Q66+U66)</f>
        <v>0</v>
      </c>
      <c r="W66" s="20" t="s">
        <v>146</v>
      </c>
    </row>
    <row r="67" spans="1:23" ht="12.75">
      <c r="A67" s="53">
        <v>557178</v>
      </c>
      <c r="B67" s="54" t="s">
        <v>184</v>
      </c>
      <c r="C67" s="54" t="s">
        <v>66</v>
      </c>
      <c r="D67" s="55">
        <v>2001</v>
      </c>
      <c r="E67" s="53" t="s">
        <v>81</v>
      </c>
      <c r="F67" s="4">
        <v>0</v>
      </c>
      <c r="G67" s="4">
        <f t="shared" si="13"/>
        <v>10</v>
      </c>
      <c r="H67" s="4">
        <v>0</v>
      </c>
      <c r="I67" s="5">
        <v>0</v>
      </c>
      <c r="J67" s="4">
        <v>0</v>
      </c>
      <c r="K67" s="4">
        <f t="shared" si="10"/>
        <v>10</v>
      </c>
      <c r="L67" s="4">
        <v>0</v>
      </c>
      <c r="M67" s="5">
        <v>0</v>
      </c>
      <c r="N67" s="4">
        <v>0</v>
      </c>
      <c r="O67" s="4">
        <f t="shared" si="11"/>
        <v>10</v>
      </c>
      <c r="P67" s="4">
        <v>0</v>
      </c>
      <c r="Q67" s="5">
        <v>0</v>
      </c>
      <c r="R67" s="4">
        <v>0</v>
      </c>
      <c r="S67" s="4">
        <f t="shared" si="12"/>
        <v>10</v>
      </c>
      <c r="T67" s="4">
        <v>0</v>
      </c>
      <c r="U67" s="5">
        <v>0</v>
      </c>
      <c r="V67" s="5">
        <f>SUM(I67+M67+Q67+U67)</f>
        <v>0</v>
      </c>
      <c r="W67" s="20" t="s">
        <v>147</v>
      </c>
    </row>
    <row r="68" spans="1:23" ht="12.75">
      <c r="A68" s="26">
        <v>574813</v>
      </c>
      <c r="B68" s="10" t="s">
        <v>188</v>
      </c>
      <c r="C68" s="10" t="s">
        <v>83</v>
      </c>
      <c r="D68" s="24">
        <v>2000</v>
      </c>
      <c r="E68" s="26" t="s">
        <v>203</v>
      </c>
      <c r="F68" s="4">
        <v>0</v>
      </c>
      <c r="G68" s="4">
        <f t="shared" si="13"/>
        <v>10</v>
      </c>
      <c r="H68" s="4">
        <v>0</v>
      </c>
      <c r="I68" s="5">
        <v>0</v>
      </c>
      <c r="J68" s="4">
        <v>0</v>
      </c>
      <c r="K68" s="4">
        <f t="shared" si="10"/>
        <v>10</v>
      </c>
      <c r="L68" s="4">
        <v>0</v>
      </c>
      <c r="M68" s="5">
        <v>0</v>
      </c>
      <c r="N68" s="4">
        <v>0</v>
      </c>
      <c r="O68" s="4">
        <f t="shared" si="11"/>
        <v>10</v>
      </c>
      <c r="P68" s="4">
        <v>0</v>
      </c>
      <c r="Q68" s="5">
        <v>0</v>
      </c>
      <c r="R68" s="4">
        <v>0</v>
      </c>
      <c r="S68" s="4">
        <f t="shared" si="12"/>
        <v>10</v>
      </c>
      <c r="T68" s="4">
        <v>0</v>
      </c>
      <c r="U68" s="5">
        <v>0</v>
      </c>
      <c r="V68" s="5">
        <v>0</v>
      </c>
      <c r="W68" s="20" t="s">
        <v>148</v>
      </c>
    </row>
    <row r="69" spans="1:23" ht="12.75">
      <c r="A69" s="26">
        <v>538805</v>
      </c>
      <c r="B69" s="10" t="s">
        <v>189</v>
      </c>
      <c r="C69" s="10" t="s">
        <v>107</v>
      </c>
      <c r="D69" s="24">
        <v>2000</v>
      </c>
      <c r="E69" s="26" t="s">
        <v>203</v>
      </c>
      <c r="F69" s="4">
        <v>0</v>
      </c>
      <c r="G69" s="4">
        <f t="shared" si="13"/>
        <v>10</v>
      </c>
      <c r="H69" s="4">
        <v>0</v>
      </c>
      <c r="I69" s="5">
        <v>0</v>
      </c>
      <c r="J69" s="4">
        <v>0</v>
      </c>
      <c r="K69" s="4">
        <f t="shared" si="10"/>
        <v>10</v>
      </c>
      <c r="L69" s="4">
        <v>0</v>
      </c>
      <c r="M69" s="5">
        <v>0</v>
      </c>
      <c r="N69" s="4">
        <v>0</v>
      </c>
      <c r="O69" s="4">
        <f t="shared" si="11"/>
        <v>10</v>
      </c>
      <c r="P69" s="4">
        <v>0</v>
      </c>
      <c r="Q69" s="5">
        <v>0</v>
      </c>
      <c r="R69" s="4">
        <v>0</v>
      </c>
      <c r="S69" s="4">
        <f t="shared" si="12"/>
        <v>10</v>
      </c>
      <c r="T69" s="4">
        <v>0</v>
      </c>
      <c r="U69" s="5">
        <v>0</v>
      </c>
      <c r="V69" s="5">
        <f aca="true" t="shared" si="14" ref="V69:V77">SUM(I69+M69+Q69+U69)</f>
        <v>0</v>
      </c>
      <c r="W69" s="20" t="s">
        <v>149</v>
      </c>
    </row>
    <row r="70" spans="1:23" ht="12.75">
      <c r="A70" s="53">
        <v>816815</v>
      </c>
      <c r="B70" s="54" t="s">
        <v>191</v>
      </c>
      <c r="C70" s="54" t="s">
        <v>57</v>
      </c>
      <c r="D70" s="55">
        <v>1999</v>
      </c>
      <c r="E70" s="53" t="s">
        <v>204</v>
      </c>
      <c r="F70" s="4">
        <v>0</v>
      </c>
      <c r="G70" s="4">
        <f t="shared" si="13"/>
        <v>10</v>
      </c>
      <c r="H70" s="4">
        <v>0</v>
      </c>
      <c r="I70" s="5">
        <v>0</v>
      </c>
      <c r="J70" s="4">
        <v>0</v>
      </c>
      <c r="K70" s="4">
        <f t="shared" si="10"/>
        <v>10</v>
      </c>
      <c r="L70" s="4">
        <v>0</v>
      </c>
      <c r="M70" s="5">
        <v>0</v>
      </c>
      <c r="N70" s="4">
        <v>0</v>
      </c>
      <c r="O70" s="4">
        <f t="shared" si="11"/>
        <v>10</v>
      </c>
      <c r="P70" s="4">
        <v>0</v>
      </c>
      <c r="Q70" s="5">
        <v>0</v>
      </c>
      <c r="R70" s="4">
        <v>0</v>
      </c>
      <c r="S70" s="4">
        <f t="shared" si="12"/>
        <v>10</v>
      </c>
      <c r="T70" s="4">
        <v>0</v>
      </c>
      <c r="U70" s="5">
        <v>0</v>
      </c>
      <c r="V70" s="5">
        <f t="shared" si="14"/>
        <v>0</v>
      </c>
      <c r="W70" s="20" t="s">
        <v>150</v>
      </c>
    </row>
    <row r="71" spans="1:23" ht="12.75">
      <c r="A71" s="53">
        <v>573021</v>
      </c>
      <c r="B71" s="54" t="s">
        <v>58</v>
      </c>
      <c r="C71" s="54" t="s">
        <v>199</v>
      </c>
      <c r="D71" s="55">
        <v>2000</v>
      </c>
      <c r="E71" s="53" t="s">
        <v>52</v>
      </c>
      <c r="F71" s="4">
        <v>0</v>
      </c>
      <c r="G71" s="4">
        <f t="shared" si="13"/>
        <v>10</v>
      </c>
      <c r="H71" s="4">
        <v>0</v>
      </c>
      <c r="I71" s="5">
        <v>0</v>
      </c>
      <c r="J71" s="4">
        <v>0</v>
      </c>
      <c r="K71" s="4">
        <f t="shared" si="10"/>
        <v>10</v>
      </c>
      <c r="L71" s="4">
        <v>0</v>
      </c>
      <c r="M71" s="5">
        <v>0</v>
      </c>
      <c r="N71" s="4">
        <v>0</v>
      </c>
      <c r="O71" s="4">
        <f t="shared" si="11"/>
        <v>10</v>
      </c>
      <c r="P71" s="4">
        <v>0</v>
      </c>
      <c r="Q71" s="5">
        <v>0</v>
      </c>
      <c r="R71" s="4">
        <v>0</v>
      </c>
      <c r="S71" s="4">
        <f t="shared" si="12"/>
        <v>10</v>
      </c>
      <c r="T71" s="4">
        <v>0</v>
      </c>
      <c r="U71" s="5">
        <v>0</v>
      </c>
      <c r="V71" s="5">
        <f t="shared" si="14"/>
        <v>0</v>
      </c>
      <c r="W71" s="20" t="s">
        <v>151</v>
      </c>
    </row>
    <row r="72" spans="1:23" ht="12.75">
      <c r="A72" s="53">
        <v>427692</v>
      </c>
      <c r="B72" s="54" t="s">
        <v>200</v>
      </c>
      <c r="C72" s="54" t="s">
        <v>201</v>
      </c>
      <c r="D72" s="55">
        <v>2000</v>
      </c>
      <c r="E72" s="53" t="s">
        <v>52</v>
      </c>
      <c r="F72" s="4">
        <v>0</v>
      </c>
      <c r="G72" s="4">
        <f t="shared" si="13"/>
        <v>10</v>
      </c>
      <c r="H72" s="4">
        <v>0</v>
      </c>
      <c r="I72" s="5">
        <v>0</v>
      </c>
      <c r="J72" s="4">
        <v>0</v>
      </c>
      <c r="K72" s="4">
        <f t="shared" si="10"/>
        <v>10</v>
      </c>
      <c r="L72" s="4">
        <v>0</v>
      </c>
      <c r="M72" s="5">
        <v>0</v>
      </c>
      <c r="N72" s="4">
        <v>0</v>
      </c>
      <c r="O72" s="4">
        <f t="shared" si="11"/>
        <v>10</v>
      </c>
      <c r="P72" s="4">
        <v>0</v>
      </c>
      <c r="Q72" s="5">
        <v>0</v>
      </c>
      <c r="R72" s="4">
        <v>0</v>
      </c>
      <c r="S72" s="4">
        <f t="shared" si="12"/>
        <v>10</v>
      </c>
      <c r="T72" s="4">
        <v>0</v>
      </c>
      <c r="U72" s="5">
        <v>0</v>
      </c>
      <c r="V72" s="5">
        <f t="shared" si="14"/>
        <v>0</v>
      </c>
      <c r="W72" s="20" t="s">
        <v>152</v>
      </c>
    </row>
    <row r="73" spans="1:23" ht="12.75">
      <c r="A73" s="26">
        <v>642107</v>
      </c>
      <c r="B73" s="10" t="s">
        <v>215</v>
      </c>
      <c r="C73" s="10" t="s">
        <v>70</v>
      </c>
      <c r="D73" s="24">
        <v>1999</v>
      </c>
      <c r="E73" s="26" t="s">
        <v>51</v>
      </c>
      <c r="F73" s="4">
        <v>0</v>
      </c>
      <c r="G73" s="4">
        <f t="shared" si="13"/>
        <v>10</v>
      </c>
      <c r="H73" s="4">
        <v>0</v>
      </c>
      <c r="I73" s="5">
        <v>0</v>
      </c>
      <c r="J73" s="4">
        <v>0</v>
      </c>
      <c r="K73" s="4">
        <f t="shared" si="10"/>
        <v>10</v>
      </c>
      <c r="L73" s="4">
        <v>0</v>
      </c>
      <c r="M73" s="5">
        <v>0</v>
      </c>
      <c r="N73" s="4">
        <v>0</v>
      </c>
      <c r="O73" s="4">
        <f t="shared" si="11"/>
        <v>10</v>
      </c>
      <c r="P73" s="4">
        <v>0</v>
      </c>
      <c r="Q73" s="5">
        <v>0</v>
      </c>
      <c r="R73" s="4">
        <v>0</v>
      </c>
      <c r="S73" s="4">
        <f t="shared" si="12"/>
        <v>10</v>
      </c>
      <c r="T73" s="4">
        <v>0</v>
      </c>
      <c r="U73" s="5">
        <v>0</v>
      </c>
      <c r="V73" s="5">
        <f t="shared" si="14"/>
        <v>0</v>
      </c>
      <c r="W73" s="20" t="s">
        <v>153</v>
      </c>
    </row>
    <row r="74" spans="1:23" ht="12.75">
      <c r="A74" s="26">
        <v>643882</v>
      </c>
      <c r="B74" s="10" t="s">
        <v>219</v>
      </c>
      <c r="C74" s="10" t="s">
        <v>66</v>
      </c>
      <c r="D74" s="24">
        <v>2001</v>
      </c>
      <c r="E74" s="26" t="s">
        <v>51</v>
      </c>
      <c r="F74" s="4">
        <v>0</v>
      </c>
      <c r="G74" s="4">
        <f t="shared" si="13"/>
        <v>10</v>
      </c>
      <c r="H74" s="4">
        <v>0</v>
      </c>
      <c r="I74" s="5">
        <v>0</v>
      </c>
      <c r="J74" s="4">
        <v>0</v>
      </c>
      <c r="K74" s="4">
        <f t="shared" si="10"/>
        <v>10</v>
      </c>
      <c r="L74" s="4">
        <v>0</v>
      </c>
      <c r="M74" s="5">
        <v>0</v>
      </c>
      <c r="N74" s="4">
        <v>0</v>
      </c>
      <c r="O74" s="4">
        <f t="shared" si="11"/>
        <v>10</v>
      </c>
      <c r="P74" s="4">
        <v>0</v>
      </c>
      <c r="Q74" s="5">
        <v>0</v>
      </c>
      <c r="R74" s="4">
        <v>0</v>
      </c>
      <c r="S74" s="4">
        <f t="shared" si="12"/>
        <v>10</v>
      </c>
      <c r="T74" s="4">
        <v>0</v>
      </c>
      <c r="U74" s="5">
        <v>0</v>
      </c>
      <c r="V74" s="5">
        <f t="shared" si="14"/>
        <v>0</v>
      </c>
      <c r="W74" s="20" t="s">
        <v>154</v>
      </c>
    </row>
    <row r="75" spans="1:23" ht="12.75">
      <c r="A75" s="26">
        <v>551931</v>
      </c>
      <c r="B75" s="10" t="s">
        <v>108</v>
      </c>
      <c r="C75" s="10" t="s">
        <v>220</v>
      </c>
      <c r="D75" s="24">
        <v>1999</v>
      </c>
      <c r="E75" s="26" t="s">
        <v>51</v>
      </c>
      <c r="F75" s="4">
        <v>0</v>
      </c>
      <c r="G75" s="4">
        <f t="shared" si="13"/>
        <v>10</v>
      </c>
      <c r="H75" s="4">
        <v>0</v>
      </c>
      <c r="I75" s="5">
        <v>0</v>
      </c>
      <c r="J75" s="4">
        <v>0</v>
      </c>
      <c r="K75" s="4">
        <f t="shared" si="10"/>
        <v>10</v>
      </c>
      <c r="L75" s="4">
        <v>0</v>
      </c>
      <c r="M75" s="5">
        <v>0</v>
      </c>
      <c r="N75" s="4">
        <v>0</v>
      </c>
      <c r="O75" s="4">
        <f t="shared" si="11"/>
        <v>10</v>
      </c>
      <c r="P75" s="4">
        <v>0</v>
      </c>
      <c r="Q75" s="5">
        <v>0</v>
      </c>
      <c r="R75" s="4">
        <v>0</v>
      </c>
      <c r="S75" s="4">
        <f t="shared" si="12"/>
        <v>10</v>
      </c>
      <c r="T75" s="4">
        <v>0</v>
      </c>
      <c r="U75" s="5">
        <v>0</v>
      </c>
      <c r="V75" s="5">
        <f t="shared" si="14"/>
        <v>0</v>
      </c>
      <c r="W75" s="20" t="s">
        <v>155</v>
      </c>
    </row>
    <row r="76" spans="1:23" ht="12.75">
      <c r="A76" s="26">
        <v>554784</v>
      </c>
      <c r="B76" s="10" t="s">
        <v>241</v>
      </c>
      <c r="C76" s="10" t="s">
        <v>242</v>
      </c>
      <c r="D76" s="24">
        <v>2002</v>
      </c>
      <c r="E76" s="26" t="s">
        <v>102</v>
      </c>
      <c r="F76" s="4">
        <v>0</v>
      </c>
      <c r="G76" s="4">
        <f t="shared" si="13"/>
        <v>10</v>
      </c>
      <c r="H76" s="4">
        <v>0</v>
      </c>
      <c r="I76" s="5">
        <v>0</v>
      </c>
      <c r="J76" s="4">
        <v>0</v>
      </c>
      <c r="K76" s="4">
        <f t="shared" si="10"/>
        <v>10</v>
      </c>
      <c r="L76" s="4">
        <v>0</v>
      </c>
      <c r="M76" s="5">
        <v>0</v>
      </c>
      <c r="N76" s="4">
        <v>0</v>
      </c>
      <c r="O76" s="4">
        <f t="shared" si="11"/>
        <v>10</v>
      </c>
      <c r="P76" s="4">
        <v>0</v>
      </c>
      <c r="Q76" s="5">
        <v>0</v>
      </c>
      <c r="R76" s="4">
        <v>0</v>
      </c>
      <c r="S76" s="4">
        <f t="shared" si="12"/>
        <v>10</v>
      </c>
      <c r="T76" s="4">
        <v>0</v>
      </c>
      <c r="U76" s="5">
        <v>0</v>
      </c>
      <c r="V76" s="5">
        <f t="shared" si="14"/>
        <v>0</v>
      </c>
      <c r="W76" s="20" t="s">
        <v>156</v>
      </c>
    </row>
    <row r="77" spans="1:23" ht="12.75">
      <c r="A77" s="50">
        <v>657847</v>
      </c>
      <c r="B77" s="51" t="s">
        <v>214</v>
      </c>
      <c r="C77" s="51" t="s">
        <v>107</v>
      </c>
      <c r="D77" s="52">
        <v>2000</v>
      </c>
      <c r="E77" s="50" t="s">
        <v>71</v>
      </c>
      <c r="F77" s="47">
        <v>0</v>
      </c>
      <c r="G77" s="4">
        <f t="shared" si="13"/>
        <v>10</v>
      </c>
      <c r="H77" s="4">
        <v>0</v>
      </c>
      <c r="I77" s="5">
        <v>0</v>
      </c>
      <c r="J77" s="4">
        <v>0</v>
      </c>
      <c r="K77" s="4">
        <f t="shared" si="10"/>
        <v>10</v>
      </c>
      <c r="L77" s="4">
        <v>0</v>
      </c>
      <c r="M77" s="5">
        <v>0</v>
      </c>
      <c r="N77" s="4">
        <v>0</v>
      </c>
      <c r="O77" s="4">
        <f t="shared" si="11"/>
        <v>10</v>
      </c>
      <c r="P77" s="4">
        <v>0</v>
      </c>
      <c r="Q77" s="5">
        <v>0</v>
      </c>
      <c r="R77" s="4">
        <v>0</v>
      </c>
      <c r="S77" s="4">
        <f t="shared" si="12"/>
        <v>10</v>
      </c>
      <c r="T77" s="4">
        <v>0</v>
      </c>
      <c r="U77" s="5">
        <v>0</v>
      </c>
      <c r="V77" s="5">
        <f t="shared" si="14"/>
        <v>0</v>
      </c>
      <c r="W77" s="20" t="s">
        <v>157</v>
      </c>
    </row>
  </sheetData>
  <sheetProtection/>
  <mergeCells count="4">
    <mergeCell ref="F7:I7"/>
    <mergeCell ref="J7:M7"/>
    <mergeCell ref="N7:Q7"/>
    <mergeCell ref="R7:U7"/>
  </mergeCells>
  <printOptions gridLines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0"/>
  <sheetViews>
    <sheetView zoomScale="90" zoomScaleNormal="90" zoomScalePageLayoutView="0" workbookViewId="0" topLeftCell="A16">
      <selection activeCell="Y19" sqref="Y19"/>
    </sheetView>
  </sheetViews>
  <sheetFormatPr defaultColWidth="11.421875" defaultRowHeight="12.75"/>
  <cols>
    <col min="1" max="1" width="6.140625" style="0" customWidth="1"/>
    <col min="2" max="2" width="11.7109375" style="0" customWidth="1"/>
    <col min="3" max="3" width="9.7109375" style="0" customWidth="1"/>
    <col min="4" max="4" width="5.00390625" style="0" customWidth="1"/>
    <col min="5" max="5" width="16.7109375" style="0" customWidth="1"/>
    <col min="6" max="6" width="4.7109375" style="0" customWidth="1"/>
    <col min="7" max="7" width="5.7109375" style="0" customWidth="1"/>
    <col min="8" max="8" width="4.7109375" style="0" customWidth="1"/>
    <col min="9" max="9" width="5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5.7109375" style="0" customWidth="1"/>
    <col min="14" max="14" width="4.7109375" style="0" customWidth="1"/>
    <col min="15" max="15" width="5.7109375" style="0" customWidth="1"/>
    <col min="16" max="16" width="4.7109375" style="0" customWidth="1"/>
    <col min="17" max="17" width="5.7109375" style="0" customWidth="1"/>
    <col min="18" max="18" width="4.7109375" style="0" customWidth="1"/>
    <col min="19" max="19" width="5.7109375" style="0" customWidth="1"/>
    <col min="20" max="20" width="4.7109375" style="0" customWidth="1"/>
    <col min="21" max="21" width="5.7109375" style="0" customWidth="1"/>
    <col min="22" max="22" width="7.7109375" style="0" customWidth="1"/>
    <col min="23" max="23" width="5.57421875" style="0" customWidth="1"/>
  </cols>
  <sheetData>
    <row r="1" ht="13.5" thickBot="1"/>
    <row r="2" spans="17:22" ht="13.5" thickBot="1">
      <c r="Q2" s="8" t="s">
        <v>0</v>
      </c>
      <c r="R2" s="9"/>
      <c r="S2" s="9"/>
      <c r="T2" s="9"/>
      <c r="U2" s="9"/>
      <c r="V2" s="37"/>
    </row>
    <row r="3" spans="17:22" ht="12.75">
      <c r="Q3" s="38" t="s">
        <v>257</v>
      </c>
      <c r="R3" s="39"/>
      <c r="S3" s="39"/>
      <c r="T3" s="39"/>
      <c r="U3" s="39"/>
      <c r="V3" s="40"/>
    </row>
    <row r="4" spans="17:22" ht="12.75">
      <c r="Q4" s="13"/>
      <c r="R4" s="14"/>
      <c r="S4" s="14"/>
      <c r="T4" s="21"/>
      <c r="U4" s="11"/>
      <c r="V4" s="14"/>
    </row>
    <row r="5" spans="1:23" ht="12.75">
      <c r="A5" s="26"/>
      <c r="B5" s="10"/>
      <c r="C5" s="10"/>
      <c r="D5" s="24"/>
      <c r="E5" s="26"/>
      <c r="F5" s="4"/>
      <c r="G5" s="4"/>
      <c r="H5" s="4"/>
      <c r="I5" s="5"/>
      <c r="J5" s="4"/>
      <c r="K5" s="4"/>
      <c r="L5" s="4"/>
      <c r="M5" s="5"/>
      <c r="N5" s="4"/>
      <c r="O5" s="4"/>
      <c r="P5" s="4"/>
      <c r="Q5" s="5"/>
      <c r="R5" s="4"/>
      <c r="S5" s="4"/>
      <c r="T5" s="4"/>
      <c r="U5" s="5"/>
      <c r="V5" s="5"/>
      <c r="W5" s="20"/>
    </row>
    <row r="6" spans="1:5" ht="12.75">
      <c r="A6" s="26"/>
      <c r="B6" s="10"/>
      <c r="C6" s="10"/>
      <c r="D6" s="24"/>
      <c r="E6" s="26"/>
    </row>
    <row r="7" spans="1:21" ht="12.75">
      <c r="A7" s="31"/>
      <c r="B7" s="28"/>
      <c r="C7" s="28" t="s">
        <v>258</v>
      </c>
      <c r="D7" s="29"/>
      <c r="E7" s="48"/>
      <c r="F7" s="62" t="s">
        <v>1</v>
      </c>
      <c r="G7" s="63"/>
      <c r="H7" s="63"/>
      <c r="I7" s="64"/>
      <c r="J7" s="62" t="s">
        <v>2</v>
      </c>
      <c r="K7" s="63"/>
      <c r="L7" s="63"/>
      <c r="M7" s="64"/>
      <c r="N7" s="62" t="s">
        <v>3</v>
      </c>
      <c r="O7" s="63"/>
      <c r="P7" s="63"/>
      <c r="Q7" s="64"/>
      <c r="R7" s="62" t="s">
        <v>4</v>
      </c>
      <c r="S7" s="63"/>
      <c r="T7" s="63"/>
      <c r="U7" s="64"/>
    </row>
    <row r="8" spans="1:23" ht="12.75">
      <c r="A8" s="1" t="s">
        <v>5</v>
      </c>
      <c r="B8" s="1" t="s">
        <v>29</v>
      </c>
      <c r="C8" s="2" t="s">
        <v>30</v>
      </c>
      <c r="D8" s="2" t="s">
        <v>49</v>
      </c>
      <c r="E8" s="1" t="s">
        <v>6</v>
      </c>
      <c r="F8" s="30" t="s">
        <v>39</v>
      </c>
      <c r="G8" s="30" t="s">
        <v>40</v>
      </c>
      <c r="H8" s="30" t="s">
        <v>7</v>
      </c>
      <c r="I8" s="30" t="s">
        <v>8</v>
      </c>
      <c r="J8" s="30" t="s">
        <v>39</v>
      </c>
      <c r="K8" s="30" t="s">
        <v>40</v>
      </c>
      <c r="L8" s="30" t="s">
        <v>7</v>
      </c>
      <c r="M8" s="30" t="s">
        <v>8</v>
      </c>
      <c r="N8" s="30" t="s">
        <v>39</v>
      </c>
      <c r="O8" s="30" t="s">
        <v>40</v>
      </c>
      <c r="P8" s="30" t="s">
        <v>7</v>
      </c>
      <c r="Q8" s="30" t="s">
        <v>8</v>
      </c>
      <c r="R8" s="30" t="s">
        <v>39</v>
      </c>
      <c r="S8" s="30" t="s">
        <v>40</v>
      </c>
      <c r="T8" s="30" t="s">
        <v>7</v>
      </c>
      <c r="U8" s="30" t="s">
        <v>8</v>
      </c>
      <c r="V8" s="30" t="s">
        <v>9</v>
      </c>
      <c r="W8" s="32" t="s">
        <v>10</v>
      </c>
    </row>
    <row r="9" spans="1:23" ht="12.75">
      <c r="A9" s="26">
        <v>617056</v>
      </c>
      <c r="B9" s="10" t="s">
        <v>269</v>
      </c>
      <c r="C9" s="10" t="s">
        <v>78</v>
      </c>
      <c r="D9" s="24">
        <v>1995</v>
      </c>
      <c r="E9" s="26" t="s">
        <v>102</v>
      </c>
      <c r="F9" s="4">
        <v>5</v>
      </c>
      <c r="G9" s="4">
        <f>SUM(10-(2.1+2.3)/2)</f>
        <v>7.8</v>
      </c>
      <c r="H9" s="4">
        <v>0</v>
      </c>
      <c r="I9" s="5">
        <f aca="true" t="shared" si="0" ref="I9:I34">SUM(F9+G9-H9)</f>
        <v>12.8</v>
      </c>
      <c r="J9" s="4">
        <v>4.7</v>
      </c>
      <c r="K9" s="4">
        <f>SUM(10-(2.8+2.4)/2)</f>
        <v>7.4</v>
      </c>
      <c r="L9" s="4">
        <v>0</v>
      </c>
      <c r="M9" s="5">
        <f aca="true" t="shared" si="1" ref="M9:M33">SUM(J9+K9-L9)</f>
        <v>12.100000000000001</v>
      </c>
      <c r="N9" s="4">
        <v>4.6</v>
      </c>
      <c r="O9" s="4">
        <f>SUM(10-(2.8+3)/2)</f>
        <v>7.1</v>
      </c>
      <c r="P9" s="4">
        <v>0</v>
      </c>
      <c r="Q9" s="5">
        <f aca="true" t="shared" si="2" ref="Q9:Q34">SUM(N9+O9-P9)</f>
        <v>11.7</v>
      </c>
      <c r="R9" s="4">
        <v>5.1</v>
      </c>
      <c r="S9" s="4">
        <f>SUM(10-(1.3+1.5)/2)</f>
        <v>8.6</v>
      </c>
      <c r="T9" s="4">
        <v>0</v>
      </c>
      <c r="U9" s="5">
        <f aca="true" t="shared" si="3" ref="U9:U34">SUM(R9+S9-T9)</f>
        <v>13.7</v>
      </c>
      <c r="V9" s="5">
        <f aca="true" t="shared" si="4" ref="V9:V39">SUM(I9+M9+Q9+U9)</f>
        <v>50.3</v>
      </c>
      <c r="W9" s="20" t="s">
        <v>11</v>
      </c>
    </row>
    <row r="10" spans="1:23" ht="12.75">
      <c r="A10" s="26">
        <v>515084</v>
      </c>
      <c r="B10" s="10" t="s">
        <v>288</v>
      </c>
      <c r="C10" s="10" t="s">
        <v>287</v>
      </c>
      <c r="D10" s="24">
        <v>1997</v>
      </c>
      <c r="E10" s="26" t="s">
        <v>289</v>
      </c>
      <c r="F10" s="4">
        <v>4</v>
      </c>
      <c r="G10" s="4">
        <f>SUM(10-(2.8+2.4)/2)</f>
        <v>7.4</v>
      </c>
      <c r="H10" s="4">
        <v>0</v>
      </c>
      <c r="I10" s="5">
        <f t="shared" si="0"/>
        <v>11.4</v>
      </c>
      <c r="J10" s="4">
        <v>3</v>
      </c>
      <c r="K10" s="4">
        <f>SUM(10-(1.2+1.3)/2)</f>
        <v>8.75</v>
      </c>
      <c r="L10" s="4">
        <v>0</v>
      </c>
      <c r="M10" s="5">
        <f t="shared" si="1"/>
        <v>11.75</v>
      </c>
      <c r="N10" s="4">
        <v>3.6</v>
      </c>
      <c r="O10" s="4">
        <f>SUM(10-(1.1+1.3)/2)</f>
        <v>8.8</v>
      </c>
      <c r="P10" s="4">
        <v>0</v>
      </c>
      <c r="Q10" s="5">
        <f t="shared" si="2"/>
        <v>12.4</v>
      </c>
      <c r="R10" s="4">
        <v>4.9</v>
      </c>
      <c r="S10" s="4">
        <f>SUM(10-(2+2)/2)</f>
        <v>8</v>
      </c>
      <c r="T10" s="4">
        <v>0</v>
      </c>
      <c r="U10" s="5">
        <f t="shared" si="3"/>
        <v>12.9</v>
      </c>
      <c r="V10" s="5">
        <f t="shared" si="4"/>
        <v>48.449999999999996</v>
      </c>
      <c r="W10" s="20" t="s">
        <v>12</v>
      </c>
    </row>
    <row r="11" spans="1:23" ht="12.75">
      <c r="A11" s="26">
        <v>579889</v>
      </c>
      <c r="B11" s="10" t="s">
        <v>243</v>
      </c>
      <c r="C11" s="10" t="s">
        <v>112</v>
      </c>
      <c r="D11" s="24">
        <v>1997</v>
      </c>
      <c r="E11" s="26" t="s">
        <v>304</v>
      </c>
      <c r="F11" s="4">
        <v>4</v>
      </c>
      <c r="G11" s="4">
        <f>SUM(10-(2.2+2.2)/2)</f>
        <v>7.8</v>
      </c>
      <c r="H11" s="4">
        <v>0</v>
      </c>
      <c r="I11" s="5">
        <f t="shared" si="0"/>
        <v>11.8</v>
      </c>
      <c r="J11" s="4">
        <v>3</v>
      </c>
      <c r="K11" s="4">
        <f>SUM(10-(1.1+1.2)/2)</f>
        <v>8.85</v>
      </c>
      <c r="L11" s="4">
        <v>0</v>
      </c>
      <c r="M11" s="5">
        <f t="shared" si="1"/>
        <v>11.85</v>
      </c>
      <c r="N11" s="4">
        <v>4.3</v>
      </c>
      <c r="O11" s="4">
        <f>SUM(10-(2.6+2.8)/2)</f>
        <v>7.3</v>
      </c>
      <c r="P11" s="4">
        <v>0</v>
      </c>
      <c r="Q11" s="5">
        <f t="shared" si="2"/>
        <v>11.6</v>
      </c>
      <c r="R11" s="4">
        <v>4.7</v>
      </c>
      <c r="S11" s="4">
        <f>SUM(10-(1.6+1.9)/2)</f>
        <v>8.25</v>
      </c>
      <c r="T11" s="4">
        <v>0</v>
      </c>
      <c r="U11" s="5">
        <f t="shared" si="3"/>
        <v>12.95</v>
      </c>
      <c r="V11" s="5">
        <f t="shared" si="4"/>
        <v>48.2</v>
      </c>
      <c r="W11" s="20" t="s">
        <v>13</v>
      </c>
    </row>
    <row r="12" spans="1:23" ht="12.75">
      <c r="A12" s="26">
        <v>178455</v>
      </c>
      <c r="B12" s="10" t="s">
        <v>262</v>
      </c>
      <c r="C12" s="10" t="s">
        <v>263</v>
      </c>
      <c r="D12" s="24">
        <v>1997</v>
      </c>
      <c r="E12" s="26" t="s">
        <v>249</v>
      </c>
      <c r="F12" s="4">
        <v>3.6</v>
      </c>
      <c r="G12" s="4">
        <f>SUM(10-(1.6+1.6)/2)</f>
        <v>8.4</v>
      </c>
      <c r="H12" s="4">
        <v>0</v>
      </c>
      <c r="I12" s="5">
        <f t="shared" si="0"/>
        <v>12</v>
      </c>
      <c r="J12" s="4">
        <v>3.3</v>
      </c>
      <c r="K12" s="4">
        <f>SUM(10-(1.5+1.5)/2)</f>
        <v>8.5</v>
      </c>
      <c r="L12" s="4">
        <v>0</v>
      </c>
      <c r="M12" s="5">
        <f t="shared" si="1"/>
        <v>11.8</v>
      </c>
      <c r="N12" s="4">
        <v>3.1</v>
      </c>
      <c r="O12" s="4">
        <f>SUM(10-(1.5+1.6)/2)</f>
        <v>8.45</v>
      </c>
      <c r="P12" s="4">
        <v>0</v>
      </c>
      <c r="Q12" s="5">
        <f t="shared" si="2"/>
        <v>11.549999999999999</v>
      </c>
      <c r="R12" s="4">
        <v>4.7</v>
      </c>
      <c r="S12" s="4">
        <f>SUM(10-(1.8+2.2)/2)</f>
        <v>8</v>
      </c>
      <c r="T12" s="4">
        <v>0</v>
      </c>
      <c r="U12" s="5">
        <f t="shared" si="3"/>
        <v>12.7</v>
      </c>
      <c r="V12" s="5">
        <f t="shared" si="4"/>
        <v>48.05</v>
      </c>
      <c r="W12" s="20" t="s">
        <v>14</v>
      </c>
    </row>
    <row r="13" spans="1:23" ht="12.75">
      <c r="A13" s="26">
        <v>499456</v>
      </c>
      <c r="B13" s="10" t="s">
        <v>106</v>
      </c>
      <c r="C13" s="10" t="s">
        <v>298</v>
      </c>
      <c r="D13" s="24">
        <v>1996</v>
      </c>
      <c r="E13" s="26" t="s">
        <v>50</v>
      </c>
      <c r="F13" s="4">
        <v>3.4</v>
      </c>
      <c r="G13" s="4">
        <f>SUM(10-(1+1.2)/2)</f>
        <v>8.9</v>
      </c>
      <c r="H13" s="4">
        <v>0</v>
      </c>
      <c r="I13" s="5">
        <f t="shared" si="0"/>
        <v>12.3</v>
      </c>
      <c r="J13" s="4">
        <v>3.7</v>
      </c>
      <c r="K13" s="4">
        <f>SUM(10-(1.8+2.2)/2)</f>
        <v>8</v>
      </c>
      <c r="L13" s="4">
        <v>0</v>
      </c>
      <c r="M13" s="5">
        <f t="shared" si="1"/>
        <v>11.7</v>
      </c>
      <c r="N13" s="4">
        <v>2.6</v>
      </c>
      <c r="O13" s="4">
        <f>SUM(10-(1.2+1.2)/2)</f>
        <v>8.8</v>
      </c>
      <c r="P13" s="4">
        <v>0</v>
      </c>
      <c r="Q13" s="5">
        <f t="shared" si="2"/>
        <v>11.4</v>
      </c>
      <c r="R13" s="4">
        <v>4.4</v>
      </c>
      <c r="S13" s="4">
        <f>SUM(10-(2.2+2)/2)</f>
        <v>7.9</v>
      </c>
      <c r="T13" s="4">
        <v>0</v>
      </c>
      <c r="U13" s="5">
        <f t="shared" si="3"/>
        <v>12.3</v>
      </c>
      <c r="V13" s="5">
        <f t="shared" si="4"/>
        <v>47.7</v>
      </c>
      <c r="W13" s="20" t="s">
        <v>15</v>
      </c>
    </row>
    <row r="14" spans="1:23" ht="12.75">
      <c r="A14" s="26">
        <v>498390</v>
      </c>
      <c r="B14" s="10" t="s">
        <v>294</v>
      </c>
      <c r="C14" s="10" t="s">
        <v>75</v>
      </c>
      <c r="D14" s="24">
        <v>1996</v>
      </c>
      <c r="E14" s="26" t="s">
        <v>204</v>
      </c>
      <c r="F14" s="4">
        <v>3.4</v>
      </c>
      <c r="G14" s="4">
        <f>SUM(10-(1.1+1.2)/2)</f>
        <v>8.85</v>
      </c>
      <c r="H14" s="4">
        <v>0</v>
      </c>
      <c r="I14" s="5">
        <f t="shared" si="0"/>
        <v>12.25</v>
      </c>
      <c r="J14" s="4">
        <v>4.1</v>
      </c>
      <c r="K14" s="4">
        <f>SUM(10-(3+2.5)/2)</f>
        <v>7.25</v>
      </c>
      <c r="L14" s="4">
        <v>0</v>
      </c>
      <c r="M14" s="5">
        <f t="shared" si="1"/>
        <v>11.35</v>
      </c>
      <c r="N14" s="4">
        <v>3.8</v>
      </c>
      <c r="O14" s="4">
        <f>SUM(10-(2.1+2.4)/2)</f>
        <v>7.75</v>
      </c>
      <c r="P14" s="4">
        <v>0</v>
      </c>
      <c r="Q14" s="5">
        <f t="shared" si="2"/>
        <v>11.55</v>
      </c>
      <c r="R14" s="4">
        <v>3.9</v>
      </c>
      <c r="S14" s="4">
        <f>SUM(10-(1.4+1.4)/2)</f>
        <v>8.6</v>
      </c>
      <c r="T14" s="4">
        <v>0</v>
      </c>
      <c r="U14" s="5">
        <f t="shared" si="3"/>
        <v>12.5</v>
      </c>
      <c r="V14" s="5">
        <f t="shared" si="4"/>
        <v>47.650000000000006</v>
      </c>
      <c r="W14" s="20" t="s">
        <v>16</v>
      </c>
    </row>
    <row r="15" spans="1:23" ht="12.75">
      <c r="A15" s="26">
        <v>161640</v>
      </c>
      <c r="B15" s="10" t="s">
        <v>264</v>
      </c>
      <c r="C15" s="10" t="s">
        <v>265</v>
      </c>
      <c r="D15" s="24">
        <v>1998</v>
      </c>
      <c r="E15" s="26" t="s">
        <v>250</v>
      </c>
      <c r="F15" s="4">
        <v>4.4</v>
      </c>
      <c r="G15" s="4">
        <f>SUM(10-(1.5+1.5)/2)</f>
        <v>8.5</v>
      </c>
      <c r="H15" s="4">
        <v>0</v>
      </c>
      <c r="I15" s="5">
        <f t="shared" si="0"/>
        <v>12.9</v>
      </c>
      <c r="J15" s="4">
        <v>4.1</v>
      </c>
      <c r="K15" s="4">
        <f>SUM(10-(3.1+3.1)/2)</f>
        <v>6.9</v>
      </c>
      <c r="L15" s="4">
        <v>0</v>
      </c>
      <c r="M15" s="5">
        <f t="shared" si="1"/>
        <v>11</v>
      </c>
      <c r="N15" s="4">
        <v>3.8</v>
      </c>
      <c r="O15" s="4">
        <f>SUM(10-(3.2+3)/2)</f>
        <v>6.9</v>
      </c>
      <c r="P15" s="4">
        <v>0</v>
      </c>
      <c r="Q15" s="5">
        <f t="shared" si="2"/>
        <v>10.7</v>
      </c>
      <c r="R15" s="4">
        <v>5.3</v>
      </c>
      <c r="S15" s="4">
        <f>SUM(10-(2.9+2.8)/2)</f>
        <v>7.15</v>
      </c>
      <c r="T15" s="4">
        <v>0</v>
      </c>
      <c r="U15" s="5">
        <f t="shared" si="3"/>
        <v>12.45</v>
      </c>
      <c r="V15" s="5">
        <f t="shared" si="4"/>
        <v>47.05</v>
      </c>
      <c r="W15" s="20" t="s">
        <v>17</v>
      </c>
    </row>
    <row r="16" spans="1:23" ht="12.75">
      <c r="A16" s="26">
        <v>540327</v>
      </c>
      <c r="B16" s="10" t="s">
        <v>284</v>
      </c>
      <c r="C16" s="10" t="s">
        <v>285</v>
      </c>
      <c r="D16" s="24">
        <v>1998</v>
      </c>
      <c r="E16" s="26" t="s">
        <v>61</v>
      </c>
      <c r="F16" s="4">
        <v>4</v>
      </c>
      <c r="G16" s="4">
        <f>SUM(10-(1.6+1.7)/2)</f>
        <v>8.35</v>
      </c>
      <c r="H16" s="4">
        <v>0</v>
      </c>
      <c r="I16" s="5">
        <f t="shared" si="0"/>
        <v>12.35</v>
      </c>
      <c r="J16" s="4">
        <v>4.2</v>
      </c>
      <c r="K16" s="4">
        <f>SUM(10-(2.6+2.6)/2)</f>
        <v>7.4</v>
      </c>
      <c r="L16" s="4">
        <v>0</v>
      </c>
      <c r="M16" s="5">
        <f t="shared" si="1"/>
        <v>11.600000000000001</v>
      </c>
      <c r="N16" s="4">
        <v>3.9</v>
      </c>
      <c r="O16" s="4">
        <f>SUM(10-(3.9+3.5)/2)</f>
        <v>6.3</v>
      </c>
      <c r="P16" s="4">
        <v>0</v>
      </c>
      <c r="Q16" s="5">
        <f t="shared" si="2"/>
        <v>10.2</v>
      </c>
      <c r="R16" s="4">
        <v>5.1</v>
      </c>
      <c r="S16" s="4">
        <f>SUM(10-(2.3+2.3)/2)</f>
        <v>7.7</v>
      </c>
      <c r="T16" s="4">
        <v>0</v>
      </c>
      <c r="U16" s="5">
        <f t="shared" si="3"/>
        <v>12.8</v>
      </c>
      <c r="V16" s="5">
        <f t="shared" si="4"/>
        <v>46.95</v>
      </c>
      <c r="W16" s="20" t="s">
        <v>18</v>
      </c>
    </row>
    <row r="17" spans="1:23" ht="12.75">
      <c r="A17" s="26">
        <v>502826</v>
      </c>
      <c r="B17" s="10" t="s">
        <v>270</v>
      </c>
      <c r="C17" s="10" t="s">
        <v>271</v>
      </c>
      <c r="D17" s="24">
        <v>1997</v>
      </c>
      <c r="E17" s="26" t="s">
        <v>305</v>
      </c>
      <c r="F17" s="4">
        <v>4</v>
      </c>
      <c r="G17" s="4">
        <f>SUM(10-(2.4+2)/2)</f>
        <v>7.8</v>
      </c>
      <c r="H17" s="4">
        <v>0</v>
      </c>
      <c r="I17" s="5">
        <f t="shared" si="0"/>
        <v>11.8</v>
      </c>
      <c r="J17" s="4">
        <v>3</v>
      </c>
      <c r="K17" s="4">
        <f>SUM(10-(1.9+1.9)/2)</f>
        <v>8.1</v>
      </c>
      <c r="L17" s="4">
        <v>0</v>
      </c>
      <c r="M17" s="5">
        <f t="shared" si="1"/>
        <v>11.1</v>
      </c>
      <c r="N17" s="4">
        <v>4</v>
      </c>
      <c r="O17" s="4">
        <f>SUM(10-(3+2.8)/2)</f>
        <v>7.1</v>
      </c>
      <c r="P17" s="4">
        <v>0</v>
      </c>
      <c r="Q17" s="5">
        <f t="shared" si="2"/>
        <v>11.1</v>
      </c>
      <c r="R17" s="4">
        <v>4.5</v>
      </c>
      <c r="S17" s="4">
        <f>SUM(10-(1.9+2.1)/2)</f>
        <v>8</v>
      </c>
      <c r="T17" s="4">
        <v>0</v>
      </c>
      <c r="U17" s="5">
        <f t="shared" si="3"/>
        <v>12.5</v>
      </c>
      <c r="V17" s="5">
        <f t="shared" si="4"/>
        <v>46.5</v>
      </c>
      <c r="W17" s="20" t="s">
        <v>19</v>
      </c>
    </row>
    <row r="18" spans="1:23" ht="12.75">
      <c r="A18" s="26">
        <v>539403</v>
      </c>
      <c r="B18" s="10" t="s">
        <v>280</v>
      </c>
      <c r="C18" s="10" t="s">
        <v>67</v>
      </c>
      <c r="D18" s="24">
        <v>1996</v>
      </c>
      <c r="E18" s="26" t="s">
        <v>307</v>
      </c>
      <c r="F18" s="4">
        <v>3.4</v>
      </c>
      <c r="G18" s="4">
        <f>SUM(10-(0.8+0.8)/2)</f>
        <v>9.2</v>
      </c>
      <c r="H18" s="4">
        <v>0</v>
      </c>
      <c r="I18" s="5">
        <f t="shared" si="0"/>
        <v>12.6</v>
      </c>
      <c r="J18" s="4">
        <v>3.8</v>
      </c>
      <c r="K18" s="4">
        <f>SUM(10-(3.1+3.5)/2)</f>
        <v>6.7</v>
      </c>
      <c r="L18" s="4">
        <v>0</v>
      </c>
      <c r="M18" s="5">
        <f t="shared" si="1"/>
        <v>10.5</v>
      </c>
      <c r="N18" s="4">
        <v>3.5</v>
      </c>
      <c r="O18" s="4">
        <f>SUM(10-(3.1+3.3)/2)</f>
        <v>6.8</v>
      </c>
      <c r="P18" s="4">
        <v>0</v>
      </c>
      <c r="Q18" s="5">
        <f t="shared" si="2"/>
        <v>10.3</v>
      </c>
      <c r="R18" s="4">
        <v>5.1</v>
      </c>
      <c r="S18" s="4">
        <f>SUM(10-(2.5+2.3)/2)</f>
        <v>7.6</v>
      </c>
      <c r="T18" s="4">
        <v>0</v>
      </c>
      <c r="U18" s="5">
        <f t="shared" si="3"/>
        <v>12.7</v>
      </c>
      <c r="V18" s="5">
        <f t="shared" si="4"/>
        <v>46.10000000000001</v>
      </c>
      <c r="W18" s="20" t="s">
        <v>20</v>
      </c>
    </row>
    <row r="19" spans="1:23" ht="12.75">
      <c r="A19" s="26">
        <v>574925</v>
      </c>
      <c r="B19" s="10" t="s">
        <v>108</v>
      </c>
      <c r="C19" s="10" t="s">
        <v>93</v>
      </c>
      <c r="D19" s="24">
        <v>1994</v>
      </c>
      <c r="E19" s="26" t="s">
        <v>101</v>
      </c>
      <c r="F19" s="4">
        <v>4</v>
      </c>
      <c r="G19" s="4">
        <f>SUM(10-(1.6+1.7)/2)</f>
        <v>8.35</v>
      </c>
      <c r="H19" s="4">
        <v>0</v>
      </c>
      <c r="I19" s="5">
        <f t="shared" si="0"/>
        <v>12.35</v>
      </c>
      <c r="J19" s="4">
        <v>3.7</v>
      </c>
      <c r="K19" s="4">
        <f>SUM(10-(2.1+2.5)/2)</f>
        <v>7.7</v>
      </c>
      <c r="L19" s="4">
        <v>0</v>
      </c>
      <c r="M19" s="5">
        <f t="shared" si="1"/>
        <v>11.4</v>
      </c>
      <c r="N19" s="4">
        <v>3.6</v>
      </c>
      <c r="O19" s="4">
        <f>SUM(10-(3.8+4.1)/2)</f>
        <v>6.050000000000001</v>
      </c>
      <c r="P19" s="4">
        <v>0</v>
      </c>
      <c r="Q19" s="5">
        <f t="shared" si="2"/>
        <v>9.65</v>
      </c>
      <c r="R19" s="4">
        <v>5.1</v>
      </c>
      <c r="S19" s="4">
        <f>SUM(10-(2.4+2.8)/2)</f>
        <v>7.4</v>
      </c>
      <c r="T19" s="4">
        <v>0</v>
      </c>
      <c r="U19" s="5">
        <f t="shared" si="3"/>
        <v>12.5</v>
      </c>
      <c r="V19" s="5">
        <f t="shared" si="4"/>
        <v>45.9</v>
      </c>
      <c r="W19" s="20" t="s">
        <v>21</v>
      </c>
    </row>
    <row r="20" spans="1:23" ht="12.75">
      <c r="A20" s="26">
        <v>539506</v>
      </c>
      <c r="B20" s="10" t="s">
        <v>95</v>
      </c>
      <c r="C20" s="10" t="s">
        <v>297</v>
      </c>
      <c r="D20" s="24">
        <v>1998</v>
      </c>
      <c r="E20" s="26" t="s">
        <v>50</v>
      </c>
      <c r="F20" s="4">
        <v>4</v>
      </c>
      <c r="G20" s="4">
        <f>SUM(10-(1.7+1.9)/2)</f>
        <v>8.2</v>
      </c>
      <c r="H20" s="4">
        <v>0</v>
      </c>
      <c r="I20" s="5">
        <f t="shared" si="0"/>
        <v>12.2</v>
      </c>
      <c r="J20" s="4">
        <v>3.8</v>
      </c>
      <c r="K20" s="4">
        <f>SUM(10-(1.9+2)/2)</f>
        <v>8.05</v>
      </c>
      <c r="L20" s="4">
        <v>0</v>
      </c>
      <c r="M20" s="5">
        <f t="shared" si="1"/>
        <v>11.850000000000001</v>
      </c>
      <c r="N20" s="4">
        <v>2.9</v>
      </c>
      <c r="O20" s="4">
        <f>SUM(10-(3.4+3.4)/2)</f>
        <v>6.6</v>
      </c>
      <c r="P20" s="4">
        <v>1</v>
      </c>
      <c r="Q20" s="5">
        <f t="shared" si="2"/>
        <v>8.5</v>
      </c>
      <c r="R20" s="4">
        <v>5.1</v>
      </c>
      <c r="S20" s="4">
        <f>SUM(10-(1.9+1.7)/2)</f>
        <v>8.2</v>
      </c>
      <c r="T20" s="4">
        <v>0</v>
      </c>
      <c r="U20" s="5">
        <f t="shared" si="3"/>
        <v>13.299999999999999</v>
      </c>
      <c r="V20" s="5">
        <f t="shared" si="4"/>
        <v>45.849999999999994</v>
      </c>
      <c r="W20" s="20" t="s">
        <v>22</v>
      </c>
    </row>
    <row r="21" spans="1:23" ht="12.75">
      <c r="A21" s="26">
        <v>486171</v>
      </c>
      <c r="B21" s="10" t="s">
        <v>281</v>
      </c>
      <c r="C21" s="10" t="s">
        <v>42</v>
      </c>
      <c r="D21" s="24">
        <v>1996</v>
      </c>
      <c r="E21" s="26" t="s">
        <v>61</v>
      </c>
      <c r="F21" s="4">
        <v>4</v>
      </c>
      <c r="G21" s="4">
        <f>SUM(10-(1.6+2)/2)</f>
        <v>8.2</v>
      </c>
      <c r="H21" s="4">
        <v>0</v>
      </c>
      <c r="I21" s="5">
        <f t="shared" si="0"/>
        <v>12.2</v>
      </c>
      <c r="J21" s="4">
        <v>3</v>
      </c>
      <c r="K21" s="4">
        <f>SUM(10-(3.5+3.3)/2)</f>
        <v>6.6</v>
      </c>
      <c r="L21" s="4">
        <v>0</v>
      </c>
      <c r="M21" s="5">
        <f t="shared" si="1"/>
        <v>9.6</v>
      </c>
      <c r="N21" s="4">
        <v>3.5</v>
      </c>
      <c r="O21" s="4">
        <f>SUM(10-(2+1.8)/2)</f>
        <v>8.1</v>
      </c>
      <c r="P21" s="4">
        <v>0</v>
      </c>
      <c r="Q21" s="5">
        <f t="shared" si="2"/>
        <v>11.6</v>
      </c>
      <c r="R21" s="4">
        <v>4.3</v>
      </c>
      <c r="S21" s="4">
        <f>SUM(10-(2.1+2)/2)</f>
        <v>7.95</v>
      </c>
      <c r="T21" s="4">
        <v>0</v>
      </c>
      <c r="U21" s="5">
        <f t="shared" si="3"/>
        <v>12.25</v>
      </c>
      <c r="V21" s="5">
        <f t="shared" si="4"/>
        <v>45.65</v>
      </c>
      <c r="W21" s="20" t="s">
        <v>23</v>
      </c>
    </row>
    <row r="22" spans="1:23" ht="12.75">
      <c r="A22" s="26">
        <v>498379</v>
      </c>
      <c r="B22" s="10" t="s">
        <v>290</v>
      </c>
      <c r="C22" s="10" t="s">
        <v>291</v>
      </c>
      <c r="D22" s="24">
        <v>1996</v>
      </c>
      <c r="E22" s="26" t="s">
        <v>204</v>
      </c>
      <c r="F22" s="4">
        <v>3.4</v>
      </c>
      <c r="G22" s="4">
        <f>SUM(10-(1.2+1.8)/2)</f>
        <v>8.5</v>
      </c>
      <c r="H22" s="4">
        <v>0</v>
      </c>
      <c r="I22" s="5">
        <f t="shared" si="0"/>
        <v>11.9</v>
      </c>
      <c r="J22" s="4">
        <v>4.1</v>
      </c>
      <c r="K22" s="4">
        <f>SUM(10-(3.5+3.3)/2)</f>
        <v>6.6</v>
      </c>
      <c r="L22" s="4">
        <v>0</v>
      </c>
      <c r="M22" s="5">
        <f t="shared" si="1"/>
        <v>10.7</v>
      </c>
      <c r="N22" s="4">
        <v>3</v>
      </c>
      <c r="O22" s="4">
        <f>SUM(10-(2.6+2.7)/2)</f>
        <v>7.35</v>
      </c>
      <c r="P22" s="4">
        <v>0</v>
      </c>
      <c r="Q22" s="5">
        <f t="shared" si="2"/>
        <v>10.35</v>
      </c>
      <c r="R22" s="4">
        <v>4.3</v>
      </c>
      <c r="S22" s="4">
        <f>SUM(10-(2.2+2)/2)</f>
        <v>7.9</v>
      </c>
      <c r="T22" s="4">
        <v>0</v>
      </c>
      <c r="U22" s="5">
        <f t="shared" si="3"/>
        <v>12.2</v>
      </c>
      <c r="V22" s="5">
        <f t="shared" si="4"/>
        <v>45.150000000000006</v>
      </c>
      <c r="W22" s="20" t="s">
        <v>24</v>
      </c>
    </row>
    <row r="23" spans="1:23" ht="12.75">
      <c r="A23" s="26">
        <v>467941</v>
      </c>
      <c r="B23" s="10" t="s">
        <v>295</v>
      </c>
      <c r="C23" s="10" t="s">
        <v>296</v>
      </c>
      <c r="D23" s="24">
        <v>1992</v>
      </c>
      <c r="E23" s="26" t="s">
        <v>50</v>
      </c>
      <c r="F23" s="4">
        <v>4</v>
      </c>
      <c r="G23" s="4">
        <f>SUM(10-(3+2.5)/2)</f>
        <v>7.25</v>
      </c>
      <c r="H23" s="4">
        <v>0</v>
      </c>
      <c r="I23" s="5">
        <f t="shared" si="0"/>
        <v>11.25</v>
      </c>
      <c r="J23" s="4">
        <v>3</v>
      </c>
      <c r="K23" s="4">
        <f>SUM(10-(2.5+2.4)/2)</f>
        <v>7.55</v>
      </c>
      <c r="L23" s="4">
        <v>0</v>
      </c>
      <c r="M23" s="5">
        <f t="shared" si="1"/>
        <v>10.55</v>
      </c>
      <c r="N23" s="4">
        <v>3.7</v>
      </c>
      <c r="O23" s="4">
        <f>SUM(10-(2.6+3)/2)</f>
        <v>7.2</v>
      </c>
      <c r="P23" s="4">
        <v>0</v>
      </c>
      <c r="Q23" s="5">
        <f t="shared" si="2"/>
        <v>10.9</v>
      </c>
      <c r="R23" s="4">
        <v>3.9</v>
      </c>
      <c r="S23" s="4">
        <f>SUM(10-(1.8+2)/2)</f>
        <v>8.1</v>
      </c>
      <c r="T23" s="4">
        <v>0</v>
      </c>
      <c r="U23" s="5">
        <f t="shared" si="3"/>
        <v>12</v>
      </c>
      <c r="V23" s="5">
        <f t="shared" si="4"/>
        <v>44.7</v>
      </c>
      <c r="W23" s="20" t="s">
        <v>25</v>
      </c>
    </row>
    <row r="24" spans="1:23" ht="12.75">
      <c r="A24" s="26">
        <v>557408</v>
      </c>
      <c r="B24" s="10" t="s">
        <v>272</v>
      </c>
      <c r="C24" s="10" t="s">
        <v>273</v>
      </c>
      <c r="D24" s="24">
        <v>1998</v>
      </c>
      <c r="E24" s="26" t="s">
        <v>161</v>
      </c>
      <c r="F24" s="4">
        <v>4</v>
      </c>
      <c r="G24" s="4">
        <f>SUM(10-(2.2+2.1)/2)</f>
        <v>7.85</v>
      </c>
      <c r="H24" s="4">
        <v>0</v>
      </c>
      <c r="I24" s="5">
        <f t="shared" si="0"/>
        <v>11.85</v>
      </c>
      <c r="J24" s="4">
        <v>3</v>
      </c>
      <c r="K24" s="4">
        <f>SUM(10-(2+1.7)/2)</f>
        <v>8.15</v>
      </c>
      <c r="L24" s="4">
        <v>0</v>
      </c>
      <c r="M24" s="5">
        <f t="shared" si="1"/>
        <v>11.15</v>
      </c>
      <c r="N24" s="4">
        <v>3.6</v>
      </c>
      <c r="O24" s="4">
        <f>SUM(10-(4.4+4.4)/2)</f>
        <v>5.6</v>
      </c>
      <c r="P24" s="4">
        <v>0</v>
      </c>
      <c r="Q24" s="5">
        <f t="shared" si="2"/>
        <v>9.2</v>
      </c>
      <c r="R24" s="4">
        <v>4.4</v>
      </c>
      <c r="S24" s="4">
        <f>SUM(10-(2+2.2)/2)</f>
        <v>7.9</v>
      </c>
      <c r="T24" s="4">
        <v>0</v>
      </c>
      <c r="U24" s="5">
        <f t="shared" si="3"/>
        <v>12.3</v>
      </c>
      <c r="V24" s="5">
        <f t="shared" si="4"/>
        <v>44.5</v>
      </c>
      <c r="W24" s="20" t="s">
        <v>26</v>
      </c>
    </row>
    <row r="25" spans="1:23" ht="12.75">
      <c r="A25" s="26">
        <v>819498</v>
      </c>
      <c r="B25" s="10" t="s">
        <v>278</v>
      </c>
      <c r="C25" s="10" t="s">
        <v>279</v>
      </c>
      <c r="D25" s="24">
        <v>1979</v>
      </c>
      <c r="E25" s="26" t="s">
        <v>47</v>
      </c>
      <c r="F25" s="4">
        <v>3.6</v>
      </c>
      <c r="G25" s="4">
        <f>SUM(10-(1.9+1.9)/2)</f>
        <v>8.1</v>
      </c>
      <c r="H25" s="4">
        <v>0</v>
      </c>
      <c r="I25" s="5">
        <f t="shared" si="0"/>
        <v>11.7</v>
      </c>
      <c r="J25" s="4">
        <v>3.1</v>
      </c>
      <c r="K25" s="4">
        <f>SUM(10-(2.2+2)/2)</f>
        <v>7.9</v>
      </c>
      <c r="L25" s="4">
        <v>0</v>
      </c>
      <c r="M25" s="5">
        <f t="shared" si="1"/>
        <v>11</v>
      </c>
      <c r="N25" s="4">
        <v>3.3</v>
      </c>
      <c r="O25" s="4">
        <f>SUM(10-(2.7+2.7)/2)</f>
        <v>7.3</v>
      </c>
      <c r="P25" s="4">
        <v>0</v>
      </c>
      <c r="Q25" s="5">
        <f t="shared" si="2"/>
        <v>10.6</v>
      </c>
      <c r="R25" s="4">
        <v>3.5</v>
      </c>
      <c r="S25" s="4">
        <f>SUM(10-(2.4+2.5)/2)</f>
        <v>7.55</v>
      </c>
      <c r="T25" s="4">
        <v>0</v>
      </c>
      <c r="U25" s="5">
        <f t="shared" si="3"/>
        <v>11.05</v>
      </c>
      <c r="V25" s="5">
        <f t="shared" si="4"/>
        <v>44.349999999999994</v>
      </c>
      <c r="W25" s="20" t="s">
        <v>27</v>
      </c>
    </row>
    <row r="26" spans="1:23" ht="12.75">
      <c r="A26" s="26">
        <v>552890</v>
      </c>
      <c r="B26" s="10" t="s">
        <v>260</v>
      </c>
      <c r="C26" s="10" t="s">
        <v>261</v>
      </c>
      <c r="D26" s="24">
        <v>1997</v>
      </c>
      <c r="E26" s="26" t="s">
        <v>249</v>
      </c>
      <c r="F26" s="4">
        <v>3.4</v>
      </c>
      <c r="G26" s="4">
        <f>SUM(10-(2.3+2.1)/2)</f>
        <v>7.8</v>
      </c>
      <c r="H26" s="4">
        <v>0</v>
      </c>
      <c r="I26" s="5">
        <f t="shared" si="0"/>
        <v>11.2</v>
      </c>
      <c r="J26" s="4">
        <v>3.1</v>
      </c>
      <c r="K26" s="4">
        <f>SUM(10-(1.4+1.2)/2)</f>
        <v>8.7</v>
      </c>
      <c r="L26" s="4">
        <v>0</v>
      </c>
      <c r="M26" s="5">
        <f t="shared" si="1"/>
        <v>11.799999999999999</v>
      </c>
      <c r="N26" s="4">
        <v>2.8</v>
      </c>
      <c r="O26" s="4">
        <f>SUM(10-(3.7+4)/2)</f>
        <v>6.15</v>
      </c>
      <c r="P26" s="4">
        <v>0</v>
      </c>
      <c r="Q26" s="5">
        <f t="shared" si="2"/>
        <v>8.95</v>
      </c>
      <c r="R26" s="4">
        <v>4.9</v>
      </c>
      <c r="S26" s="4">
        <f>SUM(10-(2.5+2.7)/2)</f>
        <v>7.4</v>
      </c>
      <c r="T26" s="4">
        <v>0</v>
      </c>
      <c r="U26" s="5">
        <f t="shared" si="3"/>
        <v>12.3</v>
      </c>
      <c r="V26" s="5">
        <f t="shared" si="4"/>
        <v>44.25</v>
      </c>
      <c r="W26" s="20" t="s">
        <v>28</v>
      </c>
    </row>
    <row r="27" spans="1:23" ht="12.75">
      <c r="A27" s="26">
        <v>508701</v>
      </c>
      <c r="B27" s="10" t="s">
        <v>286</v>
      </c>
      <c r="C27" s="10" t="s">
        <v>287</v>
      </c>
      <c r="D27" s="24">
        <v>1995</v>
      </c>
      <c r="E27" s="26" t="s">
        <v>103</v>
      </c>
      <c r="F27" s="4">
        <v>4</v>
      </c>
      <c r="G27" s="4">
        <f>SUM(10-(2.6+2.3)/2)</f>
        <v>7.55</v>
      </c>
      <c r="H27" s="4">
        <v>0</v>
      </c>
      <c r="I27" s="5">
        <f t="shared" si="0"/>
        <v>11.55</v>
      </c>
      <c r="J27" s="4">
        <v>3</v>
      </c>
      <c r="K27" s="4">
        <f>SUM(10-(2.5+2.1)/2)</f>
        <v>7.7</v>
      </c>
      <c r="L27" s="4">
        <v>0</v>
      </c>
      <c r="M27" s="5">
        <f t="shared" si="1"/>
        <v>10.7</v>
      </c>
      <c r="N27" s="4">
        <v>4.7</v>
      </c>
      <c r="O27" s="4">
        <f>SUM(10-(6+5.5)/2)</f>
        <v>4.25</v>
      </c>
      <c r="P27" s="4">
        <v>0</v>
      </c>
      <c r="Q27" s="5">
        <f t="shared" si="2"/>
        <v>8.95</v>
      </c>
      <c r="R27" s="4">
        <v>4.4</v>
      </c>
      <c r="S27" s="4">
        <f>SUM(10-(2+2)/2)</f>
        <v>8</v>
      </c>
      <c r="T27" s="4">
        <v>0</v>
      </c>
      <c r="U27" s="5">
        <f t="shared" si="3"/>
        <v>12.4</v>
      </c>
      <c r="V27" s="5">
        <f t="shared" si="4"/>
        <v>43.6</v>
      </c>
      <c r="W27" s="20" t="s">
        <v>31</v>
      </c>
    </row>
    <row r="28" spans="1:23" ht="12.75">
      <c r="A28" s="26">
        <v>176066</v>
      </c>
      <c r="B28" s="10" t="s">
        <v>267</v>
      </c>
      <c r="C28" s="10" t="s">
        <v>268</v>
      </c>
      <c r="D28" s="24">
        <v>1990</v>
      </c>
      <c r="E28" s="26" t="s">
        <v>303</v>
      </c>
      <c r="F28" s="4">
        <v>3.4</v>
      </c>
      <c r="G28" s="4">
        <f>SUM(10-(2.4+2.1)/2)</f>
        <v>7.75</v>
      </c>
      <c r="H28" s="4">
        <v>0</v>
      </c>
      <c r="I28" s="5">
        <f t="shared" si="0"/>
        <v>11.15</v>
      </c>
      <c r="J28" s="4">
        <v>3</v>
      </c>
      <c r="K28" s="4">
        <f>SUM(10-(2.1+2.2)/2)</f>
        <v>7.85</v>
      </c>
      <c r="L28" s="4">
        <v>0</v>
      </c>
      <c r="M28" s="5">
        <f t="shared" si="1"/>
        <v>10.85</v>
      </c>
      <c r="N28" s="4">
        <v>3.1</v>
      </c>
      <c r="O28" s="4">
        <f>SUM(10-(4.6+4.6)/2)</f>
        <v>5.4</v>
      </c>
      <c r="P28" s="4">
        <v>0</v>
      </c>
      <c r="Q28" s="5">
        <f t="shared" si="2"/>
        <v>8.5</v>
      </c>
      <c r="R28" s="4">
        <v>5.1</v>
      </c>
      <c r="S28" s="4">
        <f>SUM(10-(2.6+2.4)/2)</f>
        <v>7.5</v>
      </c>
      <c r="T28" s="4">
        <v>0</v>
      </c>
      <c r="U28" s="5">
        <f t="shared" si="3"/>
        <v>12.6</v>
      </c>
      <c r="V28" s="5">
        <f t="shared" si="4"/>
        <v>43.1</v>
      </c>
      <c r="W28" s="20" t="s">
        <v>34</v>
      </c>
    </row>
    <row r="29" spans="1:23" ht="12.75">
      <c r="A29" s="26">
        <v>115832</v>
      </c>
      <c r="B29" s="10" t="s">
        <v>276</v>
      </c>
      <c r="C29" s="10" t="s">
        <v>74</v>
      </c>
      <c r="D29" s="24">
        <v>1993</v>
      </c>
      <c r="E29" s="26" t="s">
        <v>92</v>
      </c>
      <c r="F29" s="4">
        <v>3.4</v>
      </c>
      <c r="G29" s="4">
        <f>SUM(10-(2.6+2.8)/2)</f>
        <v>7.3</v>
      </c>
      <c r="H29" s="4">
        <v>0</v>
      </c>
      <c r="I29" s="5">
        <f t="shared" si="0"/>
        <v>10.7</v>
      </c>
      <c r="J29" s="4">
        <v>3</v>
      </c>
      <c r="K29" s="4">
        <f>SUM(10-(2.6+3)/2)</f>
        <v>7.2</v>
      </c>
      <c r="L29" s="4">
        <v>0</v>
      </c>
      <c r="M29" s="5">
        <f t="shared" si="1"/>
        <v>10.2</v>
      </c>
      <c r="N29" s="4">
        <v>3.1</v>
      </c>
      <c r="O29" s="4">
        <f>SUM(10-(3.4+3.4)/2)</f>
        <v>6.6</v>
      </c>
      <c r="P29" s="4">
        <v>0</v>
      </c>
      <c r="Q29" s="5">
        <f t="shared" si="2"/>
        <v>9.7</v>
      </c>
      <c r="R29" s="4">
        <v>4.3</v>
      </c>
      <c r="S29" s="4">
        <f>SUM(10-(2.8+3)/2)</f>
        <v>7.1</v>
      </c>
      <c r="T29" s="4">
        <v>0</v>
      </c>
      <c r="U29" s="5">
        <f t="shared" si="3"/>
        <v>11.399999999999999</v>
      </c>
      <c r="V29" s="5">
        <f t="shared" si="4"/>
        <v>42</v>
      </c>
      <c r="W29" s="20" t="s">
        <v>35</v>
      </c>
    </row>
    <row r="30" spans="1:23" ht="12.75">
      <c r="A30" s="26">
        <v>50809</v>
      </c>
      <c r="B30" s="10" t="s">
        <v>275</v>
      </c>
      <c r="C30" s="10" t="s">
        <v>266</v>
      </c>
      <c r="D30" s="24">
        <v>1985</v>
      </c>
      <c r="E30" s="26" t="s">
        <v>92</v>
      </c>
      <c r="F30" s="4">
        <v>3.4</v>
      </c>
      <c r="G30" s="4">
        <f>SUM(10-(2.4+2.3)/2)</f>
        <v>7.65</v>
      </c>
      <c r="H30" s="4">
        <v>0</v>
      </c>
      <c r="I30" s="5">
        <f t="shared" si="0"/>
        <v>11.05</v>
      </c>
      <c r="J30" s="4">
        <v>3</v>
      </c>
      <c r="K30" s="4">
        <f>SUM(10-(3.8+4.2)/2)</f>
        <v>6</v>
      </c>
      <c r="L30" s="4">
        <v>0</v>
      </c>
      <c r="M30" s="5">
        <f t="shared" si="1"/>
        <v>9</v>
      </c>
      <c r="N30" s="4">
        <v>2.5</v>
      </c>
      <c r="O30" s="4">
        <f>SUM(10-(3.5+3.2)/2)</f>
        <v>6.65</v>
      </c>
      <c r="P30" s="4">
        <v>0</v>
      </c>
      <c r="Q30" s="5">
        <f t="shared" si="2"/>
        <v>9.15</v>
      </c>
      <c r="R30" s="4">
        <v>4.3</v>
      </c>
      <c r="S30" s="4">
        <f>SUM(10-(2.6+2.5)/2)</f>
        <v>7.45</v>
      </c>
      <c r="T30" s="4">
        <v>0</v>
      </c>
      <c r="U30" s="5">
        <f t="shared" si="3"/>
        <v>11.75</v>
      </c>
      <c r="V30" s="5">
        <f t="shared" si="4"/>
        <v>40.95</v>
      </c>
      <c r="W30" s="20" t="s">
        <v>36</v>
      </c>
    </row>
    <row r="31" spans="1:23" ht="12.75">
      <c r="A31" s="26">
        <v>544402</v>
      </c>
      <c r="B31" s="10" t="s">
        <v>292</v>
      </c>
      <c r="C31" s="10" t="s">
        <v>293</v>
      </c>
      <c r="D31" s="24">
        <v>1996</v>
      </c>
      <c r="E31" s="26" t="s">
        <v>204</v>
      </c>
      <c r="F31" s="4">
        <v>3.4</v>
      </c>
      <c r="G31" s="4">
        <f>SUM(10-(2.5+2.3)/2)</f>
        <v>7.6</v>
      </c>
      <c r="H31" s="4">
        <v>0</v>
      </c>
      <c r="I31" s="5">
        <f t="shared" si="0"/>
        <v>11</v>
      </c>
      <c r="J31" s="4">
        <v>2.7</v>
      </c>
      <c r="K31" s="4">
        <f>SUM(10-(3.7+3.5)/2)</f>
        <v>6.4</v>
      </c>
      <c r="L31" s="4">
        <v>0</v>
      </c>
      <c r="M31" s="5">
        <f t="shared" si="1"/>
        <v>9.100000000000001</v>
      </c>
      <c r="N31" s="4">
        <v>3</v>
      </c>
      <c r="O31" s="4">
        <f>SUM(10-(3.3+3.6)/2)</f>
        <v>6.55</v>
      </c>
      <c r="P31" s="4">
        <v>0</v>
      </c>
      <c r="Q31" s="5">
        <f t="shared" si="2"/>
        <v>9.55</v>
      </c>
      <c r="R31" s="4">
        <v>3.5</v>
      </c>
      <c r="S31" s="4">
        <f>SUM(10-(3.5+3.4)/2)</f>
        <v>6.55</v>
      </c>
      <c r="T31" s="4">
        <v>0</v>
      </c>
      <c r="U31" s="5">
        <f t="shared" si="3"/>
        <v>10.05</v>
      </c>
      <c r="V31" s="5">
        <f t="shared" si="4"/>
        <v>39.7</v>
      </c>
      <c r="W31" s="20" t="s">
        <v>37</v>
      </c>
    </row>
    <row r="32" spans="1:23" ht="12.75">
      <c r="A32" s="26">
        <v>427713</v>
      </c>
      <c r="B32" s="10" t="s">
        <v>301</v>
      </c>
      <c r="C32" s="10" t="s">
        <v>302</v>
      </c>
      <c r="D32" s="24">
        <v>1995</v>
      </c>
      <c r="E32" s="26" t="s">
        <v>300</v>
      </c>
      <c r="F32" s="4">
        <v>3.4</v>
      </c>
      <c r="G32" s="4">
        <f>SUM(10-(2.5+2.3)/2)</f>
        <v>7.6</v>
      </c>
      <c r="H32" s="4">
        <v>0</v>
      </c>
      <c r="I32" s="5">
        <f t="shared" si="0"/>
        <v>11</v>
      </c>
      <c r="J32" s="4">
        <v>3</v>
      </c>
      <c r="K32" s="4">
        <f>SUM(10-(3.6+3.2)/2)</f>
        <v>6.6</v>
      </c>
      <c r="L32" s="4">
        <v>0</v>
      </c>
      <c r="M32" s="5">
        <f t="shared" si="1"/>
        <v>9.6</v>
      </c>
      <c r="N32" s="4">
        <v>2.5</v>
      </c>
      <c r="O32" s="4">
        <f>SUM(10-(3.7+3.8)/2)</f>
        <v>6.25</v>
      </c>
      <c r="P32" s="4">
        <v>1</v>
      </c>
      <c r="Q32" s="5">
        <f t="shared" si="2"/>
        <v>7.75</v>
      </c>
      <c r="R32" s="4">
        <v>4.1</v>
      </c>
      <c r="S32" s="4">
        <f>SUM(10-(3+2.6)/2)</f>
        <v>7.2</v>
      </c>
      <c r="T32" s="4">
        <v>0</v>
      </c>
      <c r="U32" s="5">
        <f t="shared" si="3"/>
        <v>11.3</v>
      </c>
      <c r="V32" s="5">
        <f t="shared" si="4"/>
        <v>39.650000000000006</v>
      </c>
      <c r="W32" s="20" t="s">
        <v>32</v>
      </c>
    </row>
    <row r="33" spans="1:23" ht="12.75">
      <c r="A33" s="26">
        <v>820761</v>
      </c>
      <c r="B33" s="10" t="s">
        <v>230</v>
      </c>
      <c r="C33" s="10" t="s">
        <v>266</v>
      </c>
      <c r="D33" s="24">
        <v>1996</v>
      </c>
      <c r="E33" s="26" t="s">
        <v>250</v>
      </c>
      <c r="F33" s="4">
        <v>3.4</v>
      </c>
      <c r="G33" s="4">
        <f>SUM(10-(2.5+2.5)/2)</f>
        <v>7.5</v>
      </c>
      <c r="H33" s="4">
        <v>0</v>
      </c>
      <c r="I33" s="5">
        <f t="shared" si="0"/>
        <v>10.9</v>
      </c>
      <c r="J33" s="4">
        <v>2.9</v>
      </c>
      <c r="K33" s="4">
        <f>SUM(10-(2.7+2.3)/2)</f>
        <v>7.5</v>
      </c>
      <c r="L33" s="4">
        <v>1</v>
      </c>
      <c r="M33" s="5">
        <f t="shared" si="1"/>
        <v>9.4</v>
      </c>
      <c r="N33" s="4">
        <v>1.2</v>
      </c>
      <c r="O33" s="4">
        <f>SUM(10-(2.8+3)/2)</f>
        <v>7.1</v>
      </c>
      <c r="P33" s="4">
        <v>2</v>
      </c>
      <c r="Q33" s="5">
        <f t="shared" si="2"/>
        <v>6.299999999999999</v>
      </c>
      <c r="R33" s="4">
        <v>2.1</v>
      </c>
      <c r="S33" s="4">
        <f>SUM(10-(2.8+3)/2)</f>
        <v>7.1</v>
      </c>
      <c r="T33" s="4">
        <v>0</v>
      </c>
      <c r="U33" s="5">
        <f t="shared" si="3"/>
        <v>9.2</v>
      </c>
      <c r="V33" s="5">
        <f t="shared" si="4"/>
        <v>35.8</v>
      </c>
      <c r="W33" s="20" t="s">
        <v>33</v>
      </c>
    </row>
    <row r="34" spans="1:23" ht="12.75">
      <c r="A34" s="26">
        <v>819278</v>
      </c>
      <c r="B34" s="10" t="s">
        <v>299</v>
      </c>
      <c r="C34" s="10" t="s">
        <v>94</v>
      </c>
      <c r="D34" s="24">
        <v>1992</v>
      </c>
      <c r="E34" s="26" t="s">
        <v>300</v>
      </c>
      <c r="F34" s="4">
        <v>4</v>
      </c>
      <c r="G34" s="4">
        <f>SUM(10-(3+2.7)/2)</f>
        <v>7.15</v>
      </c>
      <c r="H34" s="4">
        <v>0</v>
      </c>
      <c r="I34" s="5">
        <f t="shared" si="0"/>
        <v>11.15</v>
      </c>
      <c r="J34" s="4">
        <v>0</v>
      </c>
      <c r="K34" s="4">
        <f aca="true" t="shared" si="5" ref="K34:K39">SUM(10-(0+0)/2)</f>
        <v>10</v>
      </c>
      <c r="L34" s="4">
        <v>0</v>
      </c>
      <c r="M34" s="5">
        <v>0</v>
      </c>
      <c r="N34" s="4">
        <v>2.4</v>
      </c>
      <c r="O34" s="4">
        <f>SUM(10-(4.1+3.8)/2)</f>
        <v>6.050000000000001</v>
      </c>
      <c r="P34" s="4">
        <v>0</v>
      </c>
      <c r="Q34" s="5">
        <f t="shared" si="2"/>
        <v>8.450000000000001</v>
      </c>
      <c r="R34" s="4">
        <v>3.9</v>
      </c>
      <c r="S34" s="4">
        <f>SUM(10-(2.3+2.5)/2)</f>
        <v>7.6</v>
      </c>
      <c r="T34" s="4">
        <v>0</v>
      </c>
      <c r="U34" s="5">
        <f t="shared" si="3"/>
        <v>11.5</v>
      </c>
      <c r="V34" s="5">
        <f t="shared" si="4"/>
        <v>31.1</v>
      </c>
      <c r="W34" s="20" t="s">
        <v>38</v>
      </c>
    </row>
    <row r="35" spans="1:23" ht="12.75">
      <c r="A35" s="26">
        <v>550552</v>
      </c>
      <c r="B35" s="10" t="s">
        <v>259</v>
      </c>
      <c r="C35" s="10" t="s">
        <v>75</v>
      </c>
      <c r="D35" s="24">
        <v>1998</v>
      </c>
      <c r="E35" s="26" t="s">
        <v>51</v>
      </c>
      <c r="F35" s="4">
        <v>0</v>
      </c>
      <c r="G35" s="4">
        <f>SUM(10-(0+0)/2)</f>
        <v>10</v>
      </c>
      <c r="H35" s="4">
        <v>0</v>
      </c>
      <c r="I35" s="5">
        <v>0</v>
      </c>
      <c r="J35" s="4">
        <v>0</v>
      </c>
      <c r="K35" s="4">
        <f t="shared" si="5"/>
        <v>10</v>
      </c>
      <c r="L35" s="4">
        <v>0</v>
      </c>
      <c r="M35" s="5">
        <v>0</v>
      </c>
      <c r="N35" s="4">
        <v>0</v>
      </c>
      <c r="O35" s="4">
        <f>SUM(10-(0+0)/2)</f>
        <v>10</v>
      </c>
      <c r="P35" s="4">
        <v>0</v>
      </c>
      <c r="Q35" s="5">
        <v>0</v>
      </c>
      <c r="R35" s="4">
        <v>0</v>
      </c>
      <c r="S35" s="4">
        <f>SUM(10-(0+0)/2)</f>
        <v>10</v>
      </c>
      <c r="T35" s="4">
        <v>0</v>
      </c>
      <c r="U35" s="5">
        <v>0</v>
      </c>
      <c r="V35" s="5">
        <f t="shared" si="4"/>
        <v>0</v>
      </c>
      <c r="W35" s="20" t="s">
        <v>115</v>
      </c>
    </row>
    <row r="36" spans="1:23" ht="12.75">
      <c r="A36" s="26">
        <v>179835</v>
      </c>
      <c r="B36" s="10" t="s">
        <v>110</v>
      </c>
      <c r="C36" s="10" t="s">
        <v>94</v>
      </c>
      <c r="D36" s="24">
        <v>1998</v>
      </c>
      <c r="E36" s="26" t="s">
        <v>73</v>
      </c>
      <c r="F36" s="4">
        <v>0</v>
      </c>
      <c r="G36" s="4">
        <f>SUM(10-(0+0)/2)</f>
        <v>10</v>
      </c>
      <c r="H36" s="4">
        <v>0</v>
      </c>
      <c r="I36" s="5">
        <v>0</v>
      </c>
      <c r="J36" s="4">
        <v>0</v>
      </c>
      <c r="K36" s="4">
        <f t="shared" si="5"/>
        <v>10</v>
      </c>
      <c r="L36" s="4">
        <v>0</v>
      </c>
      <c r="M36" s="5">
        <v>0</v>
      </c>
      <c r="N36" s="4">
        <v>0</v>
      </c>
      <c r="O36" s="4">
        <f>SUM(10-(0+0)/2)</f>
        <v>10</v>
      </c>
      <c r="P36" s="4">
        <v>0</v>
      </c>
      <c r="Q36" s="5">
        <v>0</v>
      </c>
      <c r="R36" s="4">
        <v>0</v>
      </c>
      <c r="S36" s="4">
        <f>SUM(10-(0+0)/2)</f>
        <v>10</v>
      </c>
      <c r="T36" s="4">
        <v>0</v>
      </c>
      <c r="U36" s="5">
        <v>0</v>
      </c>
      <c r="V36" s="5">
        <f t="shared" si="4"/>
        <v>0</v>
      </c>
      <c r="W36" s="20" t="s">
        <v>116</v>
      </c>
    </row>
    <row r="37" spans="1:23" ht="12.75">
      <c r="A37" s="26">
        <v>539913</v>
      </c>
      <c r="B37" s="10" t="s">
        <v>274</v>
      </c>
      <c r="C37" s="10" t="s">
        <v>76</v>
      </c>
      <c r="D37" s="24">
        <v>1998</v>
      </c>
      <c r="E37" s="26" t="s">
        <v>306</v>
      </c>
      <c r="F37" s="4">
        <v>0</v>
      </c>
      <c r="G37" s="4">
        <f>SUM(10-(0+0)/2)</f>
        <v>10</v>
      </c>
      <c r="H37" s="4">
        <v>0</v>
      </c>
      <c r="I37" s="5">
        <v>0</v>
      </c>
      <c r="J37" s="4">
        <v>0</v>
      </c>
      <c r="K37" s="4">
        <f t="shared" si="5"/>
        <v>10</v>
      </c>
      <c r="L37" s="4">
        <v>0</v>
      </c>
      <c r="M37" s="5">
        <v>0</v>
      </c>
      <c r="N37" s="4">
        <v>0</v>
      </c>
      <c r="O37" s="4">
        <f>SUM(10-(0+0)/2)</f>
        <v>10</v>
      </c>
      <c r="P37" s="4">
        <v>0</v>
      </c>
      <c r="Q37" s="5">
        <v>0</v>
      </c>
      <c r="R37" s="4">
        <v>0</v>
      </c>
      <c r="S37" s="4">
        <f>SUM(10-(0+0)/2)</f>
        <v>10</v>
      </c>
      <c r="T37" s="4">
        <v>0</v>
      </c>
      <c r="U37" s="5">
        <v>0</v>
      </c>
      <c r="V37" s="5">
        <f t="shared" si="4"/>
        <v>0</v>
      </c>
      <c r="W37" s="20" t="s">
        <v>117</v>
      </c>
    </row>
    <row r="38" spans="1:23" ht="12.75">
      <c r="A38" s="26">
        <v>60686</v>
      </c>
      <c r="B38" s="10" t="s">
        <v>275</v>
      </c>
      <c r="C38" s="10" t="s">
        <v>277</v>
      </c>
      <c r="D38" s="24">
        <v>1987</v>
      </c>
      <c r="E38" s="26" t="s">
        <v>92</v>
      </c>
      <c r="F38" s="4">
        <v>0</v>
      </c>
      <c r="G38" s="4">
        <f>SUM(10-(0+0)/2)</f>
        <v>10</v>
      </c>
      <c r="H38" s="4">
        <v>0</v>
      </c>
      <c r="I38" s="5">
        <v>0</v>
      </c>
      <c r="J38" s="4">
        <v>0</v>
      </c>
      <c r="K38" s="4">
        <f t="shared" si="5"/>
        <v>10</v>
      </c>
      <c r="L38" s="4">
        <v>0</v>
      </c>
      <c r="M38" s="5">
        <v>0</v>
      </c>
      <c r="N38" s="4">
        <v>0</v>
      </c>
      <c r="O38" s="4">
        <f>SUM(10-(0+0)/2)</f>
        <v>10</v>
      </c>
      <c r="P38" s="4">
        <v>0</v>
      </c>
      <c r="Q38" s="5">
        <v>0</v>
      </c>
      <c r="R38" s="4">
        <v>0</v>
      </c>
      <c r="S38" s="4">
        <f>SUM(10-(0+0)/2)</f>
        <v>10</v>
      </c>
      <c r="T38" s="4">
        <v>0</v>
      </c>
      <c r="U38" s="5">
        <v>0</v>
      </c>
      <c r="V38" s="5">
        <f t="shared" si="4"/>
        <v>0</v>
      </c>
      <c r="W38" s="20" t="s">
        <v>118</v>
      </c>
    </row>
    <row r="39" spans="1:23" ht="12.75">
      <c r="A39" s="26">
        <v>552478</v>
      </c>
      <c r="B39" s="10" t="s">
        <v>282</v>
      </c>
      <c r="C39" s="10" t="s">
        <v>283</v>
      </c>
      <c r="D39" s="24">
        <v>1994</v>
      </c>
      <c r="E39" s="26" t="s">
        <v>61</v>
      </c>
      <c r="F39" s="4">
        <v>0</v>
      </c>
      <c r="G39" s="4">
        <f>SUM(10-(0+0)/2)</f>
        <v>10</v>
      </c>
      <c r="H39" s="4">
        <v>0</v>
      </c>
      <c r="I39" s="5">
        <v>0</v>
      </c>
      <c r="J39" s="4">
        <v>0</v>
      </c>
      <c r="K39" s="4">
        <f t="shared" si="5"/>
        <v>10</v>
      </c>
      <c r="L39" s="4">
        <v>0</v>
      </c>
      <c r="M39" s="5">
        <v>0</v>
      </c>
      <c r="N39" s="4">
        <v>0</v>
      </c>
      <c r="O39" s="4">
        <f>SUM(10-(0+0)/2)</f>
        <v>10</v>
      </c>
      <c r="P39" s="4">
        <v>0</v>
      </c>
      <c r="Q39" s="5">
        <v>0</v>
      </c>
      <c r="R39" s="4">
        <v>0</v>
      </c>
      <c r="S39" s="4">
        <f>SUM(10-(0+0)/2)</f>
        <v>10</v>
      </c>
      <c r="T39" s="4">
        <v>0</v>
      </c>
      <c r="U39" s="5">
        <v>0</v>
      </c>
      <c r="V39" s="5">
        <f t="shared" si="4"/>
        <v>0</v>
      </c>
      <c r="W39" s="20" t="s">
        <v>119</v>
      </c>
    </row>
    <row r="40" spans="5:19" ht="12.75">
      <c r="E40" s="25"/>
      <c r="G40" s="58" t="s">
        <v>395</v>
      </c>
      <c r="S40" s="58" t="s">
        <v>395</v>
      </c>
    </row>
  </sheetData>
  <sheetProtection/>
  <mergeCells count="4">
    <mergeCell ref="F7:I7"/>
    <mergeCell ref="J7:M7"/>
    <mergeCell ref="N7:Q7"/>
    <mergeCell ref="R7:U7"/>
  </mergeCells>
  <printOptions gridLines="1"/>
  <pageMargins left="0.1968503937007874" right="0.1968503937007874" top="0.1968503937007874" bottom="0.1968503937007874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62"/>
  <sheetViews>
    <sheetView zoomScalePageLayoutView="0" workbookViewId="0" topLeftCell="A1">
      <selection activeCell="Y8" sqref="Y8"/>
    </sheetView>
  </sheetViews>
  <sheetFormatPr defaultColWidth="11.421875" defaultRowHeight="12.75"/>
  <cols>
    <col min="1" max="1" width="6.140625" style="0" customWidth="1"/>
    <col min="2" max="2" width="12.7109375" style="0" customWidth="1"/>
    <col min="3" max="3" width="8.8515625" style="0" customWidth="1"/>
    <col min="4" max="4" width="5.00390625" style="0" customWidth="1"/>
    <col min="5" max="5" width="17.421875" style="0" customWidth="1"/>
    <col min="6" max="6" width="4.7109375" style="0" customWidth="1"/>
    <col min="7" max="7" width="5.7109375" style="0" customWidth="1"/>
    <col min="8" max="8" width="4.7109375" style="0" customWidth="1"/>
    <col min="9" max="9" width="5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5.7109375" style="0" customWidth="1"/>
    <col min="14" max="14" width="4.7109375" style="0" customWidth="1"/>
    <col min="15" max="15" width="5.7109375" style="0" customWidth="1"/>
    <col min="16" max="16" width="4.7109375" style="0" customWidth="1"/>
    <col min="17" max="17" width="5.7109375" style="0" customWidth="1"/>
    <col min="18" max="18" width="4.7109375" style="0" customWidth="1"/>
    <col min="19" max="19" width="5.7109375" style="0" customWidth="1"/>
    <col min="20" max="20" width="4.7109375" style="0" customWidth="1"/>
    <col min="21" max="21" width="5.7109375" style="0" customWidth="1"/>
    <col min="22" max="22" width="7.7109375" style="0" customWidth="1"/>
    <col min="23" max="23" width="5.57421875" style="0" customWidth="1"/>
  </cols>
  <sheetData>
    <row r="1" ht="13.5" thickBot="1"/>
    <row r="2" spans="17:22" ht="13.5" thickBot="1">
      <c r="Q2" s="8" t="s">
        <v>0</v>
      </c>
      <c r="R2" s="9"/>
      <c r="S2" s="9"/>
      <c r="T2" s="9"/>
      <c r="U2" s="9"/>
      <c r="V2" s="37"/>
    </row>
    <row r="3" spans="17:22" ht="13.5" thickBot="1">
      <c r="Q3" s="34" t="s">
        <v>41</v>
      </c>
      <c r="R3" s="35"/>
      <c r="S3" s="35"/>
      <c r="T3" s="35"/>
      <c r="U3" s="35"/>
      <c r="V3" s="36"/>
    </row>
    <row r="4" spans="17:22" ht="12.75">
      <c r="Q4" s="13"/>
      <c r="R4" s="14"/>
      <c r="S4" s="14"/>
      <c r="T4" s="14"/>
      <c r="U4" s="16"/>
      <c r="V4" s="16"/>
    </row>
    <row r="6" spans="1:21" ht="12.75">
      <c r="A6" s="31"/>
      <c r="B6" s="28"/>
      <c r="C6" s="28" t="s">
        <v>308</v>
      </c>
      <c r="D6" s="29"/>
      <c r="E6" s="46"/>
      <c r="F6" s="62" t="s">
        <v>1</v>
      </c>
      <c r="G6" s="63"/>
      <c r="H6" s="63"/>
      <c r="I6" s="64"/>
      <c r="J6" s="62" t="s">
        <v>2</v>
      </c>
      <c r="K6" s="63"/>
      <c r="L6" s="63"/>
      <c r="M6" s="64"/>
      <c r="N6" s="62" t="s">
        <v>3</v>
      </c>
      <c r="O6" s="63"/>
      <c r="P6" s="63"/>
      <c r="Q6" s="64"/>
      <c r="R6" s="62" t="s">
        <v>4</v>
      </c>
      <c r="S6" s="63"/>
      <c r="T6" s="63"/>
      <c r="U6" s="64"/>
    </row>
    <row r="7" spans="1:23" ht="12.75">
      <c r="A7" s="1" t="s">
        <v>5</v>
      </c>
      <c r="B7" s="1" t="s">
        <v>29</v>
      </c>
      <c r="C7" s="1"/>
      <c r="D7" s="1" t="s">
        <v>49</v>
      </c>
      <c r="E7" s="1" t="s">
        <v>6</v>
      </c>
      <c r="F7" s="30" t="s">
        <v>39</v>
      </c>
      <c r="G7" s="30" t="s">
        <v>40</v>
      </c>
      <c r="H7" s="30" t="s">
        <v>7</v>
      </c>
      <c r="I7" s="30" t="s">
        <v>8</v>
      </c>
      <c r="J7" s="30" t="s">
        <v>39</v>
      </c>
      <c r="K7" s="30" t="s">
        <v>40</v>
      </c>
      <c r="L7" s="30" t="s">
        <v>7</v>
      </c>
      <c r="M7" s="30" t="s">
        <v>8</v>
      </c>
      <c r="N7" s="30" t="s">
        <v>39</v>
      </c>
      <c r="O7" s="30" t="s">
        <v>40</v>
      </c>
      <c r="P7" s="30" t="s">
        <v>7</v>
      </c>
      <c r="Q7" s="30" t="s">
        <v>8</v>
      </c>
      <c r="R7" s="30" t="s">
        <v>39</v>
      </c>
      <c r="S7" s="30" t="s">
        <v>40</v>
      </c>
      <c r="T7" s="30" t="s">
        <v>7</v>
      </c>
      <c r="U7" s="30" t="s">
        <v>8</v>
      </c>
      <c r="V7" s="1" t="s">
        <v>9</v>
      </c>
      <c r="W7" s="2" t="s">
        <v>10</v>
      </c>
    </row>
    <row r="8" spans="1:23" ht="12.75">
      <c r="A8" s="26">
        <v>655310</v>
      </c>
      <c r="B8" s="10" t="s">
        <v>359</v>
      </c>
      <c r="C8" s="10" t="s">
        <v>42</v>
      </c>
      <c r="D8" s="24">
        <v>2004</v>
      </c>
      <c r="E8" s="26" t="s">
        <v>378</v>
      </c>
      <c r="F8" s="4">
        <v>4</v>
      </c>
      <c r="G8" s="4">
        <f>SUM(10-(2.5+2.3)/2)</f>
        <v>7.6</v>
      </c>
      <c r="H8" s="4">
        <v>0</v>
      </c>
      <c r="I8" s="5">
        <f aca="true" t="shared" si="0" ref="I8:I49">SUM(F8+G8-H8)</f>
        <v>11.6</v>
      </c>
      <c r="J8" s="4">
        <v>3.7</v>
      </c>
      <c r="K8" s="4">
        <f>SUM(10-(2.2+2.3)/2)</f>
        <v>7.75</v>
      </c>
      <c r="L8" s="4">
        <v>0</v>
      </c>
      <c r="M8" s="5">
        <f aca="true" t="shared" si="1" ref="M8:M50">SUM(J8+K8-L8)</f>
        <v>11.45</v>
      </c>
      <c r="N8" s="4">
        <v>3.8</v>
      </c>
      <c r="O8" s="4">
        <f>SUM(10-(1.7+1.7)/2)</f>
        <v>8.3</v>
      </c>
      <c r="P8" s="4">
        <v>0</v>
      </c>
      <c r="Q8" s="5">
        <f aca="true" t="shared" si="2" ref="Q8:Q49">SUM(N8+O8-P8)</f>
        <v>12.100000000000001</v>
      </c>
      <c r="R8" s="4">
        <v>4.5</v>
      </c>
      <c r="S8" s="4">
        <f>SUM(10-(1.5+1.5)/2)</f>
        <v>8.5</v>
      </c>
      <c r="T8" s="4">
        <v>0</v>
      </c>
      <c r="U8" s="5">
        <f aca="true" t="shared" si="3" ref="U8:U49">SUM(R8+S8-T8)</f>
        <v>13</v>
      </c>
      <c r="V8" s="5">
        <f aca="true" t="shared" si="4" ref="V8:V39">SUM(I8+M8+Q8+U8)</f>
        <v>48.15</v>
      </c>
      <c r="W8" s="20" t="s">
        <v>11</v>
      </c>
    </row>
    <row r="9" spans="1:23" ht="12.75">
      <c r="A9" s="26">
        <v>646369</v>
      </c>
      <c r="B9" s="26" t="s">
        <v>329</v>
      </c>
      <c r="C9" s="10" t="s">
        <v>330</v>
      </c>
      <c r="D9" s="24">
        <v>2003</v>
      </c>
      <c r="E9" s="26" t="s">
        <v>102</v>
      </c>
      <c r="F9" s="4">
        <v>3.4</v>
      </c>
      <c r="G9" s="4">
        <f>SUM(10-(2.3+2.6)/2)</f>
        <v>7.55</v>
      </c>
      <c r="H9" s="4">
        <v>0</v>
      </c>
      <c r="I9" s="5">
        <f t="shared" si="0"/>
        <v>10.95</v>
      </c>
      <c r="J9" s="4">
        <v>3.8</v>
      </c>
      <c r="K9" s="4">
        <f>SUM(10-(2+2)/2)</f>
        <v>8</v>
      </c>
      <c r="L9" s="4">
        <v>0</v>
      </c>
      <c r="M9" s="5">
        <f t="shared" si="1"/>
        <v>11.8</v>
      </c>
      <c r="N9" s="4">
        <v>4.7</v>
      </c>
      <c r="O9" s="4">
        <f>SUM(10-(1.5+1.4)/2)</f>
        <v>8.55</v>
      </c>
      <c r="P9" s="4">
        <v>0</v>
      </c>
      <c r="Q9" s="5">
        <f t="shared" si="2"/>
        <v>13.25</v>
      </c>
      <c r="R9" s="4">
        <v>4</v>
      </c>
      <c r="S9" s="4">
        <f>SUM(10-(2.4+2)/2)</f>
        <v>7.8</v>
      </c>
      <c r="T9" s="4">
        <v>0</v>
      </c>
      <c r="U9" s="5">
        <f t="shared" si="3"/>
        <v>11.8</v>
      </c>
      <c r="V9" s="5">
        <f t="shared" si="4"/>
        <v>47.8</v>
      </c>
      <c r="W9" s="20" t="s">
        <v>12</v>
      </c>
    </row>
    <row r="10" spans="1:23" ht="12.75">
      <c r="A10" s="26">
        <v>643996</v>
      </c>
      <c r="B10" s="10" t="s">
        <v>45</v>
      </c>
      <c r="C10" s="10" t="s">
        <v>315</v>
      </c>
      <c r="D10" s="24">
        <v>2004</v>
      </c>
      <c r="E10" s="26" t="s">
        <v>51</v>
      </c>
      <c r="F10" s="27">
        <v>3.4</v>
      </c>
      <c r="G10" s="4">
        <f>SUM(10-(2.9+2.5)/2)</f>
        <v>7.3</v>
      </c>
      <c r="H10" s="4">
        <v>0</v>
      </c>
      <c r="I10" s="5">
        <f t="shared" si="0"/>
        <v>10.7</v>
      </c>
      <c r="J10" s="4">
        <v>3.7</v>
      </c>
      <c r="K10" s="4">
        <f>SUM(10-(2+2.4)/2)</f>
        <v>7.8</v>
      </c>
      <c r="L10" s="4">
        <v>0</v>
      </c>
      <c r="M10" s="5">
        <f t="shared" si="1"/>
        <v>11.5</v>
      </c>
      <c r="N10" s="4">
        <v>4</v>
      </c>
      <c r="O10" s="4">
        <f>SUM(10-(2+2.4)/2)</f>
        <v>7.8</v>
      </c>
      <c r="P10" s="4">
        <v>0</v>
      </c>
      <c r="Q10" s="5">
        <f t="shared" si="2"/>
        <v>11.8</v>
      </c>
      <c r="R10" s="4">
        <v>4.1</v>
      </c>
      <c r="S10" s="4">
        <f>SUM(10-(1.3+1.5)/2)</f>
        <v>8.6</v>
      </c>
      <c r="T10" s="4">
        <v>0</v>
      </c>
      <c r="U10" s="5">
        <f t="shared" si="3"/>
        <v>12.7</v>
      </c>
      <c r="V10" s="5">
        <f t="shared" si="4"/>
        <v>46.7</v>
      </c>
      <c r="W10" s="20" t="s">
        <v>13</v>
      </c>
    </row>
    <row r="11" spans="1:23" ht="12.75">
      <c r="A11" s="26">
        <v>633464</v>
      </c>
      <c r="B11" s="10" t="s">
        <v>367</v>
      </c>
      <c r="C11" s="10" t="s">
        <v>70</v>
      </c>
      <c r="D11" s="24">
        <v>2003</v>
      </c>
      <c r="E11" s="26" t="s">
        <v>50</v>
      </c>
      <c r="F11" s="61">
        <v>4</v>
      </c>
      <c r="G11" s="27">
        <f>SUM(10-(2.8+2.5)/2)</f>
        <v>7.35</v>
      </c>
      <c r="H11" s="27">
        <v>0</v>
      </c>
      <c r="I11" s="59">
        <f t="shared" si="0"/>
        <v>11.35</v>
      </c>
      <c r="J11" s="27">
        <v>3.6</v>
      </c>
      <c r="K11" s="27">
        <f>SUM(10-(2.8+2.8)/2)</f>
        <v>7.2</v>
      </c>
      <c r="L11" s="27">
        <v>0</v>
      </c>
      <c r="M11" s="59">
        <f t="shared" si="1"/>
        <v>10.8</v>
      </c>
      <c r="N11" s="27">
        <v>3.8</v>
      </c>
      <c r="O11" s="27">
        <f>SUM(10-(2.1+2.2)/2)</f>
        <v>7.85</v>
      </c>
      <c r="P11" s="27">
        <v>0</v>
      </c>
      <c r="Q11" s="59">
        <f t="shared" si="2"/>
        <v>11.649999999999999</v>
      </c>
      <c r="R11" s="27">
        <v>4.5</v>
      </c>
      <c r="S11" s="27">
        <f>SUM(10-(1.7+1.6)/2)</f>
        <v>8.35</v>
      </c>
      <c r="T11" s="27">
        <v>0</v>
      </c>
      <c r="U11" s="59">
        <f t="shared" si="3"/>
        <v>12.85</v>
      </c>
      <c r="V11" s="59">
        <f t="shared" si="4"/>
        <v>46.65</v>
      </c>
      <c r="W11" s="20" t="s">
        <v>14</v>
      </c>
    </row>
    <row r="12" spans="1:23" ht="12.75">
      <c r="A12" s="26">
        <v>761517</v>
      </c>
      <c r="B12" s="10" t="s">
        <v>309</v>
      </c>
      <c r="C12" s="10" t="s">
        <v>310</v>
      </c>
      <c r="D12" s="24">
        <v>2003</v>
      </c>
      <c r="E12" s="26" t="s">
        <v>51</v>
      </c>
      <c r="F12" s="27">
        <v>3.4</v>
      </c>
      <c r="G12" s="4">
        <f>SUM(10-(2.4+2.6)/2)</f>
        <v>7.5</v>
      </c>
      <c r="H12" s="4">
        <v>0</v>
      </c>
      <c r="I12" s="5">
        <f t="shared" si="0"/>
        <v>10.9</v>
      </c>
      <c r="J12" s="4">
        <v>3.7</v>
      </c>
      <c r="K12" s="4">
        <f>SUM(10-(1.8+2)/2)</f>
        <v>8.1</v>
      </c>
      <c r="L12" s="4">
        <v>0</v>
      </c>
      <c r="M12" s="5">
        <f t="shared" si="1"/>
        <v>11.8</v>
      </c>
      <c r="N12" s="4">
        <v>4</v>
      </c>
      <c r="O12" s="4">
        <f>SUM(10-(1.6+1.7)/2)</f>
        <v>8.35</v>
      </c>
      <c r="P12" s="4">
        <v>0</v>
      </c>
      <c r="Q12" s="5">
        <f t="shared" si="2"/>
        <v>12.35</v>
      </c>
      <c r="R12" s="4">
        <v>4.5</v>
      </c>
      <c r="S12" s="4">
        <f>SUM(10-(3.5+3.7)/2)</f>
        <v>6.4</v>
      </c>
      <c r="T12" s="4">
        <v>0</v>
      </c>
      <c r="U12" s="5">
        <f t="shared" si="3"/>
        <v>10.9</v>
      </c>
      <c r="V12" s="5">
        <f t="shared" si="4"/>
        <v>45.95</v>
      </c>
      <c r="W12" s="20" t="s">
        <v>15</v>
      </c>
    </row>
    <row r="13" spans="1:23" ht="12.75">
      <c r="A13" s="26">
        <v>655312</v>
      </c>
      <c r="B13" s="10" t="s">
        <v>360</v>
      </c>
      <c r="C13" s="10" t="s">
        <v>361</v>
      </c>
      <c r="D13" s="24">
        <v>2003</v>
      </c>
      <c r="E13" s="26" t="s">
        <v>378</v>
      </c>
      <c r="F13" s="47">
        <v>3.4</v>
      </c>
      <c r="G13" s="4">
        <f>SUM(10-(2+2.4)/2)</f>
        <v>7.8</v>
      </c>
      <c r="H13" s="4">
        <v>0</v>
      </c>
      <c r="I13" s="5">
        <f t="shared" si="0"/>
        <v>11.2</v>
      </c>
      <c r="J13" s="4">
        <v>3.7</v>
      </c>
      <c r="K13" s="4">
        <f>SUM(10-(2.8+2.3)/2)</f>
        <v>7.45</v>
      </c>
      <c r="L13" s="4">
        <v>0</v>
      </c>
      <c r="M13" s="5">
        <f t="shared" si="1"/>
        <v>11.15</v>
      </c>
      <c r="N13" s="4">
        <v>4.3</v>
      </c>
      <c r="O13" s="4">
        <f>SUM(10-(3.4+3.5)/2)</f>
        <v>6.55</v>
      </c>
      <c r="P13" s="4">
        <v>0</v>
      </c>
      <c r="Q13" s="5">
        <f t="shared" si="2"/>
        <v>10.85</v>
      </c>
      <c r="R13" s="4">
        <v>4.7</v>
      </c>
      <c r="S13" s="4">
        <f>SUM(10-(2.2+2)/2)</f>
        <v>7.9</v>
      </c>
      <c r="T13" s="4">
        <v>0</v>
      </c>
      <c r="U13" s="5">
        <f t="shared" si="3"/>
        <v>12.600000000000001</v>
      </c>
      <c r="V13" s="5">
        <f t="shared" si="4"/>
        <v>45.800000000000004</v>
      </c>
      <c r="W13" s="20" t="s">
        <v>16</v>
      </c>
    </row>
    <row r="14" spans="1:23" ht="12.75">
      <c r="A14" s="26">
        <v>748133</v>
      </c>
      <c r="B14" s="10" t="s">
        <v>337</v>
      </c>
      <c r="C14" s="10" t="s">
        <v>338</v>
      </c>
      <c r="D14" s="24">
        <v>2004</v>
      </c>
      <c r="E14" s="26" t="s">
        <v>97</v>
      </c>
      <c r="F14" s="4">
        <v>3.4</v>
      </c>
      <c r="G14" s="4">
        <f>SUM(10-(2.2+2.3)/2)</f>
        <v>7.75</v>
      </c>
      <c r="H14" s="4">
        <v>0</v>
      </c>
      <c r="I14" s="5">
        <f t="shared" si="0"/>
        <v>11.15</v>
      </c>
      <c r="J14" s="4">
        <v>3.7</v>
      </c>
      <c r="K14" s="4">
        <f>SUM(10-(3+2.7)/2)</f>
        <v>7.15</v>
      </c>
      <c r="L14" s="4">
        <v>0</v>
      </c>
      <c r="M14" s="5">
        <f t="shared" si="1"/>
        <v>10.850000000000001</v>
      </c>
      <c r="N14" s="4">
        <v>4</v>
      </c>
      <c r="O14" s="4">
        <f>SUM(10-(2.3+2.6)/2)</f>
        <v>7.55</v>
      </c>
      <c r="P14" s="4">
        <v>0</v>
      </c>
      <c r="Q14" s="5">
        <f t="shared" si="2"/>
        <v>11.55</v>
      </c>
      <c r="R14" s="4">
        <v>4</v>
      </c>
      <c r="S14" s="4">
        <f>SUM(10-(2.5+2.4)/2)</f>
        <v>7.55</v>
      </c>
      <c r="T14" s="4">
        <v>0</v>
      </c>
      <c r="U14" s="5">
        <f t="shared" si="3"/>
        <v>11.55</v>
      </c>
      <c r="V14" s="5">
        <f t="shared" si="4"/>
        <v>45.099999999999994</v>
      </c>
      <c r="W14" s="20" t="s">
        <v>17</v>
      </c>
    </row>
    <row r="15" spans="1:23" ht="12.75">
      <c r="A15" s="26">
        <v>644666</v>
      </c>
      <c r="B15" s="10" t="s">
        <v>327</v>
      </c>
      <c r="C15" s="10" t="s">
        <v>328</v>
      </c>
      <c r="D15" s="24">
        <v>2004</v>
      </c>
      <c r="E15" s="26" t="s">
        <v>63</v>
      </c>
      <c r="F15" s="4">
        <v>3.4</v>
      </c>
      <c r="G15" s="4">
        <f>SUM(10-(2.2+2.6)/2)</f>
        <v>7.6</v>
      </c>
      <c r="H15" s="4">
        <v>0</v>
      </c>
      <c r="I15" s="5">
        <f t="shared" si="0"/>
        <v>11</v>
      </c>
      <c r="J15" s="4">
        <v>3.7</v>
      </c>
      <c r="K15" s="4">
        <f>SUM(10-(2.2+2.2)/2)</f>
        <v>7.8</v>
      </c>
      <c r="L15" s="4">
        <v>0</v>
      </c>
      <c r="M15" s="5">
        <f t="shared" si="1"/>
        <v>11.5</v>
      </c>
      <c r="N15" s="4">
        <v>3.8</v>
      </c>
      <c r="O15" s="4">
        <f>SUM(10-(4.1+4)/2)</f>
        <v>5.95</v>
      </c>
      <c r="P15" s="4">
        <v>0</v>
      </c>
      <c r="Q15" s="5">
        <f t="shared" si="2"/>
        <v>9.75</v>
      </c>
      <c r="R15" s="4">
        <v>5.1</v>
      </c>
      <c r="S15" s="4">
        <f>SUM(10-(2.1+2.5)/2)</f>
        <v>7.7</v>
      </c>
      <c r="T15" s="4">
        <v>0</v>
      </c>
      <c r="U15" s="5">
        <f t="shared" si="3"/>
        <v>12.8</v>
      </c>
      <c r="V15" s="5">
        <f t="shared" si="4"/>
        <v>45.05</v>
      </c>
      <c r="W15" s="20" t="s">
        <v>18</v>
      </c>
    </row>
    <row r="16" spans="1:23" ht="12.75">
      <c r="A16" s="26">
        <v>672843</v>
      </c>
      <c r="B16" s="10" t="s">
        <v>84</v>
      </c>
      <c r="C16" s="10" t="s">
        <v>75</v>
      </c>
      <c r="D16" s="24">
        <v>2004</v>
      </c>
      <c r="E16" s="26" t="s">
        <v>161</v>
      </c>
      <c r="F16" s="4">
        <v>3.4</v>
      </c>
      <c r="G16" s="4">
        <f>SUM(10-(2.3+2.5)/2)</f>
        <v>7.6</v>
      </c>
      <c r="H16" s="4">
        <v>0</v>
      </c>
      <c r="I16" s="5">
        <f t="shared" si="0"/>
        <v>11</v>
      </c>
      <c r="J16" s="4">
        <v>3.7</v>
      </c>
      <c r="K16" s="4">
        <f>SUM(10-(3.5+3.1)/2)</f>
        <v>6.7</v>
      </c>
      <c r="L16" s="4">
        <v>0</v>
      </c>
      <c r="M16" s="5">
        <f t="shared" si="1"/>
        <v>10.4</v>
      </c>
      <c r="N16" s="4">
        <v>3.7</v>
      </c>
      <c r="O16" s="4">
        <f>SUM(10-(2.2+2.1)/2)</f>
        <v>7.85</v>
      </c>
      <c r="P16" s="4">
        <v>0</v>
      </c>
      <c r="Q16" s="5">
        <f t="shared" si="2"/>
        <v>11.55</v>
      </c>
      <c r="R16" s="4">
        <v>3.7</v>
      </c>
      <c r="S16" s="4">
        <f>SUM(10-(1.5+1.8)/2)</f>
        <v>8.35</v>
      </c>
      <c r="T16" s="4">
        <v>0</v>
      </c>
      <c r="U16" s="5">
        <f t="shared" si="3"/>
        <v>12.05</v>
      </c>
      <c r="V16" s="5">
        <f t="shared" si="4"/>
        <v>45</v>
      </c>
      <c r="W16" s="60" t="s">
        <v>19</v>
      </c>
    </row>
    <row r="17" spans="1:23" ht="12.75">
      <c r="A17" s="26">
        <v>656755</v>
      </c>
      <c r="B17" s="10" t="s">
        <v>336</v>
      </c>
      <c r="C17" s="10" t="s">
        <v>104</v>
      </c>
      <c r="D17" s="24">
        <v>2003</v>
      </c>
      <c r="E17" s="26" t="s">
        <v>161</v>
      </c>
      <c r="F17" s="27">
        <v>3.4</v>
      </c>
      <c r="G17" s="27">
        <f>SUM(10-(1.7+2.3)/2)</f>
        <v>8</v>
      </c>
      <c r="H17" s="27">
        <v>0</v>
      </c>
      <c r="I17" s="59">
        <f t="shared" si="0"/>
        <v>11.4</v>
      </c>
      <c r="J17" s="27">
        <v>3.7</v>
      </c>
      <c r="K17" s="27">
        <f>SUM(10-(2.7+2.3)/2)</f>
        <v>7.5</v>
      </c>
      <c r="L17" s="27">
        <v>0</v>
      </c>
      <c r="M17" s="59">
        <f t="shared" si="1"/>
        <v>11.2</v>
      </c>
      <c r="N17" s="27">
        <v>3.5</v>
      </c>
      <c r="O17" s="27">
        <f>SUM(10-(3.5+3.6)/2)</f>
        <v>6.45</v>
      </c>
      <c r="P17" s="27">
        <v>0</v>
      </c>
      <c r="Q17" s="59">
        <f t="shared" si="2"/>
        <v>9.95</v>
      </c>
      <c r="R17" s="27">
        <v>3.9</v>
      </c>
      <c r="S17" s="27">
        <f>SUM(10-(1.5+1.8)/2)</f>
        <v>8.35</v>
      </c>
      <c r="T17" s="27">
        <v>0</v>
      </c>
      <c r="U17" s="59">
        <f t="shared" si="3"/>
        <v>12.25</v>
      </c>
      <c r="V17" s="59">
        <f t="shared" si="4"/>
        <v>44.8</v>
      </c>
      <c r="W17" s="20" t="s">
        <v>20</v>
      </c>
    </row>
    <row r="18" spans="1:23" ht="12.75">
      <c r="A18" s="26">
        <v>761584</v>
      </c>
      <c r="B18" s="10" t="s">
        <v>313</v>
      </c>
      <c r="C18" s="10" t="s">
        <v>57</v>
      </c>
      <c r="D18" s="24">
        <v>2003</v>
      </c>
      <c r="E18" s="26" t="s">
        <v>51</v>
      </c>
      <c r="F18" s="27">
        <v>3.6</v>
      </c>
      <c r="G18" s="4">
        <f>SUM(10-(2.3+2.5)/2)</f>
        <v>7.6</v>
      </c>
      <c r="H18" s="4">
        <v>0</v>
      </c>
      <c r="I18" s="5">
        <f t="shared" si="0"/>
        <v>11.2</v>
      </c>
      <c r="J18" s="4">
        <v>3.7</v>
      </c>
      <c r="K18" s="4">
        <f>SUM(10-(2.2+2)/2)</f>
        <v>7.9</v>
      </c>
      <c r="L18" s="4">
        <v>0</v>
      </c>
      <c r="M18" s="5">
        <f t="shared" si="1"/>
        <v>11.600000000000001</v>
      </c>
      <c r="N18" s="4">
        <v>3.8</v>
      </c>
      <c r="O18" s="4">
        <f>SUM(10-(1.9+2.2)/2)</f>
        <v>7.95</v>
      </c>
      <c r="P18" s="4">
        <v>0</v>
      </c>
      <c r="Q18" s="5">
        <f t="shared" si="2"/>
        <v>11.75</v>
      </c>
      <c r="R18" s="4">
        <v>4.1</v>
      </c>
      <c r="S18" s="4">
        <f>SUM(10-(3+2.8)/2)</f>
        <v>7.1</v>
      </c>
      <c r="T18" s="4">
        <v>1</v>
      </c>
      <c r="U18" s="5">
        <f t="shared" si="3"/>
        <v>10.2</v>
      </c>
      <c r="V18" s="5">
        <f t="shared" si="4"/>
        <v>44.75</v>
      </c>
      <c r="W18" s="20" t="s">
        <v>21</v>
      </c>
    </row>
    <row r="19" spans="1:23" ht="12.75">
      <c r="A19" s="26">
        <v>672322</v>
      </c>
      <c r="B19" s="10" t="s">
        <v>175</v>
      </c>
      <c r="C19" s="10" t="s">
        <v>352</v>
      </c>
      <c r="D19" s="24">
        <v>2004</v>
      </c>
      <c r="E19" s="26" t="s">
        <v>103</v>
      </c>
      <c r="F19" s="4">
        <v>3.4</v>
      </c>
      <c r="G19" s="4">
        <f>SUM(10-(2.9+2.7)/2)</f>
        <v>7.2</v>
      </c>
      <c r="H19" s="4">
        <v>0</v>
      </c>
      <c r="I19" s="5">
        <f t="shared" si="0"/>
        <v>10.6</v>
      </c>
      <c r="J19" s="4">
        <v>3.7</v>
      </c>
      <c r="K19" s="4">
        <f>SUM(10-(2.2+2.4)/2)</f>
        <v>7.7</v>
      </c>
      <c r="L19" s="4">
        <v>0</v>
      </c>
      <c r="M19" s="5">
        <f t="shared" si="1"/>
        <v>11.4</v>
      </c>
      <c r="N19" s="4">
        <v>4.1</v>
      </c>
      <c r="O19" s="4">
        <f>SUM(10-(2.9+2.6)/2)</f>
        <v>7.25</v>
      </c>
      <c r="P19" s="4">
        <v>0</v>
      </c>
      <c r="Q19" s="5">
        <f t="shared" si="2"/>
        <v>11.35</v>
      </c>
      <c r="R19" s="4">
        <v>3.8</v>
      </c>
      <c r="S19" s="4">
        <f>SUM(10-(2.5+2.5)/2)</f>
        <v>7.5</v>
      </c>
      <c r="T19" s="4">
        <v>0</v>
      </c>
      <c r="U19" s="5">
        <f t="shared" si="3"/>
        <v>11.3</v>
      </c>
      <c r="V19" s="5">
        <f t="shared" si="4"/>
        <v>44.650000000000006</v>
      </c>
      <c r="W19" s="20" t="s">
        <v>22</v>
      </c>
    </row>
    <row r="20" spans="1:23" ht="12.75">
      <c r="A20" s="26">
        <v>655311</v>
      </c>
      <c r="B20" s="10" t="s">
        <v>362</v>
      </c>
      <c r="C20" s="10" t="s">
        <v>363</v>
      </c>
      <c r="D20" s="24">
        <v>2004</v>
      </c>
      <c r="E20" s="26" t="s">
        <v>378</v>
      </c>
      <c r="F20" s="47">
        <v>3.4</v>
      </c>
      <c r="G20" s="4">
        <f>SUM(10-(2.6+2.4)/2)</f>
        <v>7.5</v>
      </c>
      <c r="H20" s="4">
        <v>0</v>
      </c>
      <c r="I20" s="5">
        <f t="shared" si="0"/>
        <v>10.9</v>
      </c>
      <c r="J20" s="4">
        <v>3.7</v>
      </c>
      <c r="K20" s="4">
        <f>SUM(10-(4+3.5)/2)</f>
        <v>6.25</v>
      </c>
      <c r="L20" s="4">
        <v>0</v>
      </c>
      <c r="M20" s="5">
        <f t="shared" si="1"/>
        <v>9.95</v>
      </c>
      <c r="N20" s="4">
        <v>3.8</v>
      </c>
      <c r="O20" s="4">
        <f>SUM(10-(3+2.6)/2)</f>
        <v>7.2</v>
      </c>
      <c r="P20" s="4">
        <v>0</v>
      </c>
      <c r="Q20" s="5">
        <f t="shared" si="2"/>
        <v>11</v>
      </c>
      <c r="R20" s="4">
        <v>4.9</v>
      </c>
      <c r="S20" s="4">
        <f>SUM(10-(2.5+2.3)/2)</f>
        <v>7.6</v>
      </c>
      <c r="T20" s="4">
        <v>0</v>
      </c>
      <c r="U20" s="5">
        <f t="shared" si="3"/>
        <v>12.5</v>
      </c>
      <c r="V20" s="5">
        <f t="shared" si="4"/>
        <v>44.35</v>
      </c>
      <c r="W20" s="20" t="s">
        <v>23</v>
      </c>
    </row>
    <row r="21" spans="1:23" ht="12.75">
      <c r="A21" s="26">
        <v>656759</v>
      </c>
      <c r="B21" s="10" t="s">
        <v>335</v>
      </c>
      <c r="C21" s="10" t="s">
        <v>77</v>
      </c>
      <c r="D21" s="24">
        <v>2004</v>
      </c>
      <c r="E21" s="26" t="s">
        <v>161</v>
      </c>
      <c r="F21" s="4">
        <v>3.4</v>
      </c>
      <c r="G21" s="4">
        <f>SUM(10-(1.4+1.6)/2)</f>
        <v>8.5</v>
      </c>
      <c r="H21" s="4">
        <v>0</v>
      </c>
      <c r="I21" s="5">
        <f t="shared" si="0"/>
        <v>11.9</v>
      </c>
      <c r="J21" s="4">
        <v>3.7</v>
      </c>
      <c r="K21" s="4">
        <f>SUM(10-(2+2.4)/2)</f>
        <v>7.8</v>
      </c>
      <c r="L21" s="4">
        <v>0</v>
      </c>
      <c r="M21" s="5">
        <f t="shared" si="1"/>
        <v>11.5</v>
      </c>
      <c r="N21" s="4">
        <v>3.2</v>
      </c>
      <c r="O21" s="4">
        <f>SUM(10-(4.1+4.2)/2)</f>
        <v>5.85</v>
      </c>
      <c r="P21" s="4">
        <v>0</v>
      </c>
      <c r="Q21" s="5">
        <f t="shared" si="2"/>
        <v>9.05</v>
      </c>
      <c r="R21" s="4">
        <v>3.8</v>
      </c>
      <c r="S21" s="4">
        <f>SUM(10-(2+2)/2)</f>
        <v>8</v>
      </c>
      <c r="T21" s="4">
        <v>0</v>
      </c>
      <c r="U21" s="5">
        <f t="shared" si="3"/>
        <v>11.8</v>
      </c>
      <c r="V21" s="5">
        <f t="shared" si="4"/>
        <v>44.25</v>
      </c>
      <c r="W21" s="20" t="s">
        <v>24</v>
      </c>
    </row>
    <row r="22" spans="1:23" ht="12.75">
      <c r="A22" s="26">
        <v>649595</v>
      </c>
      <c r="B22" s="10" t="s">
        <v>321</v>
      </c>
      <c r="C22" s="10" t="s">
        <v>322</v>
      </c>
      <c r="D22" s="24">
        <v>2004</v>
      </c>
      <c r="E22" s="26" t="s">
        <v>51</v>
      </c>
      <c r="F22" s="27">
        <v>3.4</v>
      </c>
      <c r="G22" s="27">
        <f>SUM(10-(2.8+2.7)/2)</f>
        <v>7.25</v>
      </c>
      <c r="H22" s="27">
        <v>0</v>
      </c>
      <c r="I22" s="59">
        <f t="shared" si="0"/>
        <v>10.65</v>
      </c>
      <c r="J22" s="27">
        <v>3.7</v>
      </c>
      <c r="K22" s="27">
        <f>SUM(10-(1.8+2)/2)</f>
        <v>8.1</v>
      </c>
      <c r="L22" s="27">
        <v>0</v>
      </c>
      <c r="M22" s="59">
        <f t="shared" si="1"/>
        <v>11.8</v>
      </c>
      <c r="N22" s="27">
        <v>4.2</v>
      </c>
      <c r="O22" s="27">
        <f>SUM(10-(3.3+3.6)/2)</f>
        <v>6.55</v>
      </c>
      <c r="P22" s="27">
        <v>0</v>
      </c>
      <c r="Q22" s="59">
        <f t="shared" si="2"/>
        <v>10.75</v>
      </c>
      <c r="R22" s="27">
        <v>4.3</v>
      </c>
      <c r="S22" s="27">
        <f>SUM(10-(3.5+3.2)/2)</f>
        <v>6.65</v>
      </c>
      <c r="T22" s="27">
        <v>0</v>
      </c>
      <c r="U22" s="59">
        <f t="shared" si="3"/>
        <v>10.95</v>
      </c>
      <c r="V22" s="59">
        <f t="shared" si="4"/>
        <v>44.150000000000006</v>
      </c>
      <c r="W22" s="20" t="s">
        <v>25</v>
      </c>
    </row>
    <row r="23" spans="1:23" ht="12.75">
      <c r="A23" s="26">
        <v>569322</v>
      </c>
      <c r="B23" s="10" t="s">
        <v>325</v>
      </c>
      <c r="C23" s="10" t="s">
        <v>326</v>
      </c>
      <c r="D23" s="24">
        <v>2004</v>
      </c>
      <c r="E23" s="26" t="s">
        <v>250</v>
      </c>
      <c r="F23" s="4">
        <v>4.2</v>
      </c>
      <c r="G23" s="4">
        <f>SUM(10-(3.7+3.6)/2)</f>
        <v>6.35</v>
      </c>
      <c r="H23" s="4">
        <v>0</v>
      </c>
      <c r="I23" s="5">
        <f t="shared" si="0"/>
        <v>10.55</v>
      </c>
      <c r="J23" s="4">
        <v>3.7</v>
      </c>
      <c r="K23" s="4">
        <f>SUM(10-(2+2.1)/2)</f>
        <v>7.95</v>
      </c>
      <c r="L23" s="4">
        <v>0</v>
      </c>
      <c r="M23" s="5">
        <f t="shared" si="1"/>
        <v>11.65</v>
      </c>
      <c r="N23" s="4">
        <v>4.3</v>
      </c>
      <c r="O23" s="4">
        <f>SUM(10-(4.2+4.5)/2)</f>
        <v>5.65</v>
      </c>
      <c r="P23" s="4">
        <v>0</v>
      </c>
      <c r="Q23" s="5">
        <f t="shared" si="2"/>
        <v>9.95</v>
      </c>
      <c r="R23" s="4">
        <v>4.5</v>
      </c>
      <c r="S23" s="4">
        <f>SUM(10-(2.7+2.5)/2)</f>
        <v>7.4</v>
      </c>
      <c r="T23" s="4">
        <v>0</v>
      </c>
      <c r="U23" s="5">
        <f t="shared" si="3"/>
        <v>11.9</v>
      </c>
      <c r="V23" s="5">
        <f t="shared" si="4"/>
        <v>44.050000000000004</v>
      </c>
      <c r="W23" s="20" t="s">
        <v>26</v>
      </c>
    </row>
    <row r="24" spans="1:23" ht="12.75">
      <c r="A24" s="26">
        <v>795188</v>
      </c>
      <c r="B24" s="10" t="s">
        <v>311</v>
      </c>
      <c r="C24" s="10" t="s">
        <v>312</v>
      </c>
      <c r="D24" s="24">
        <v>2004</v>
      </c>
      <c r="E24" s="26" t="s">
        <v>51</v>
      </c>
      <c r="F24" s="27">
        <v>3.4</v>
      </c>
      <c r="G24" s="4">
        <f>SUM(10-(2.8+2.4)/2)</f>
        <v>7.4</v>
      </c>
      <c r="H24" s="4">
        <v>0</v>
      </c>
      <c r="I24" s="5">
        <f t="shared" si="0"/>
        <v>10.8</v>
      </c>
      <c r="J24" s="4">
        <v>3.7</v>
      </c>
      <c r="K24" s="4">
        <f>SUM(10-(4.3+4.1)/2)</f>
        <v>5.800000000000001</v>
      </c>
      <c r="L24" s="4">
        <v>0</v>
      </c>
      <c r="M24" s="5">
        <f t="shared" si="1"/>
        <v>9.5</v>
      </c>
      <c r="N24" s="4">
        <v>3.7</v>
      </c>
      <c r="O24" s="4">
        <f>SUM(10-(1.8+2)/2)</f>
        <v>8.1</v>
      </c>
      <c r="P24" s="4">
        <v>0</v>
      </c>
      <c r="Q24" s="5">
        <f t="shared" si="2"/>
        <v>11.8</v>
      </c>
      <c r="R24" s="4">
        <v>4.5</v>
      </c>
      <c r="S24" s="4">
        <f>SUM(10-(2.8+2.7)/2)</f>
        <v>7.25</v>
      </c>
      <c r="T24" s="4">
        <v>0</v>
      </c>
      <c r="U24" s="5">
        <f t="shared" si="3"/>
        <v>11.75</v>
      </c>
      <c r="V24" s="5">
        <f t="shared" si="4"/>
        <v>43.85</v>
      </c>
      <c r="W24" s="20" t="s">
        <v>27</v>
      </c>
    </row>
    <row r="25" spans="1:23" ht="12.75">
      <c r="A25" s="26">
        <v>748127</v>
      </c>
      <c r="B25" s="10" t="s">
        <v>339</v>
      </c>
      <c r="C25" s="10" t="s">
        <v>82</v>
      </c>
      <c r="D25" s="24">
        <v>2004</v>
      </c>
      <c r="E25" s="26" t="s">
        <v>97</v>
      </c>
      <c r="F25" s="4">
        <v>3.4</v>
      </c>
      <c r="G25" s="4">
        <f>SUM(10-(2.8+2.7)/2)</f>
        <v>7.25</v>
      </c>
      <c r="H25" s="4">
        <v>0</v>
      </c>
      <c r="I25" s="5">
        <f t="shared" si="0"/>
        <v>10.65</v>
      </c>
      <c r="J25" s="4">
        <v>3.7</v>
      </c>
      <c r="K25" s="4">
        <f>SUM(10-(2.3+2.6)/2)</f>
        <v>7.55</v>
      </c>
      <c r="L25" s="4">
        <v>0</v>
      </c>
      <c r="M25" s="5">
        <f t="shared" si="1"/>
        <v>11.25</v>
      </c>
      <c r="N25" s="4">
        <v>3.2</v>
      </c>
      <c r="O25" s="4">
        <f>SUM(10-(3.3+3.5)/2)</f>
        <v>6.6</v>
      </c>
      <c r="P25" s="4">
        <v>0</v>
      </c>
      <c r="Q25" s="5">
        <f t="shared" si="2"/>
        <v>9.8</v>
      </c>
      <c r="R25" s="4">
        <v>4</v>
      </c>
      <c r="S25" s="4">
        <f>SUM(10-(1.8+2)/2)</f>
        <v>8.1</v>
      </c>
      <c r="T25" s="4">
        <v>0</v>
      </c>
      <c r="U25" s="5">
        <f t="shared" si="3"/>
        <v>12.1</v>
      </c>
      <c r="V25" s="5">
        <f t="shared" si="4"/>
        <v>43.8</v>
      </c>
      <c r="W25" s="20" t="s">
        <v>28</v>
      </c>
    </row>
    <row r="26" spans="1:23" ht="12.75">
      <c r="A26" s="26">
        <v>743680</v>
      </c>
      <c r="B26" s="10" t="s">
        <v>358</v>
      </c>
      <c r="C26" s="10" t="s">
        <v>55</v>
      </c>
      <c r="D26" s="24">
        <v>2004</v>
      </c>
      <c r="E26" s="26" t="s">
        <v>378</v>
      </c>
      <c r="F26" s="4">
        <v>3.4</v>
      </c>
      <c r="G26" s="4">
        <f>SUM(10-(1.2+1.6)/2)</f>
        <v>8.6</v>
      </c>
      <c r="H26" s="4">
        <v>0</v>
      </c>
      <c r="I26" s="5">
        <f t="shared" si="0"/>
        <v>12</v>
      </c>
      <c r="J26" s="4">
        <v>3.4</v>
      </c>
      <c r="K26" s="4">
        <f>SUM(10-(4.7+4.3)/2)</f>
        <v>5.5</v>
      </c>
      <c r="L26" s="4">
        <v>2</v>
      </c>
      <c r="M26" s="5">
        <f t="shared" si="1"/>
        <v>6.9</v>
      </c>
      <c r="N26" s="4">
        <v>3.7</v>
      </c>
      <c r="O26" s="4">
        <f>SUM(10-(2.5+2.5)/2)</f>
        <v>7.5</v>
      </c>
      <c r="P26" s="4">
        <v>0</v>
      </c>
      <c r="Q26" s="5">
        <f t="shared" si="2"/>
        <v>11.2</v>
      </c>
      <c r="R26" s="4">
        <v>5.5</v>
      </c>
      <c r="S26" s="4">
        <f>SUM(10-(2.1+1.7)/2)</f>
        <v>8.1</v>
      </c>
      <c r="T26" s="4">
        <v>0</v>
      </c>
      <c r="U26" s="5">
        <f t="shared" si="3"/>
        <v>13.6</v>
      </c>
      <c r="V26" s="5">
        <f t="shared" si="4"/>
        <v>43.699999999999996</v>
      </c>
      <c r="W26" s="20" t="s">
        <v>31</v>
      </c>
    </row>
    <row r="27" spans="1:23" ht="12.75">
      <c r="A27" s="26">
        <v>695563</v>
      </c>
      <c r="B27" s="10" t="s">
        <v>365</v>
      </c>
      <c r="C27" s="10" t="s">
        <v>366</v>
      </c>
      <c r="D27" s="24">
        <v>2003</v>
      </c>
      <c r="E27" s="26" t="s">
        <v>380</v>
      </c>
      <c r="F27" s="47">
        <v>3.6</v>
      </c>
      <c r="G27" s="4">
        <f>SUM(10-(1.3+1.6)/2)</f>
        <v>8.55</v>
      </c>
      <c r="H27" s="4">
        <v>0</v>
      </c>
      <c r="I27" s="5">
        <f t="shared" si="0"/>
        <v>12.15</v>
      </c>
      <c r="J27" s="4">
        <v>3.5</v>
      </c>
      <c r="K27" s="4">
        <f>SUM(10-(2.8+2.7)/2)</f>
        <v>7.25</v>
      </c>
      <c r="L27" s="4">
        <v>1</v>
      </c>
      <c r="M27" s="5">
        <f t="shared" si="1"/>
        <v>9.75</v>
      </c>
      <c r="N27" s="4">
        <v>3.7</v>
      </c>
      <c r="O27" s="4">
        <f>SUM(10-(3.8+3.8)/2)</f>
        <v>6.2</v>
      </c>
      <c r="P27" s="4">
        <v>0</v>
      </c>
      <c r="Q27" s="5">
        <f t="shared" si="2"/>
        <v>9.9</v>
      </c>
      <c r="R27" s="4">
        <v>4.1</v>
      </c>
      <c r="S27" s="4">
        <f>SUM(10-(2.4+2.2)/2)</f>
        <v>7.7</v>
      </c>
      <c r="T27" s="4">
        <v>0</v>
      </c>
      <c r="U27" s="5">
        <f t="shared" si="3"/>
        <v>11.8</v>
      </c>
      <c r="V27" s="5">
        <f t="shared" si="4"/>
        <v>43.599999999999994</v>
      </c>
      <c r="W27" s="60" t="s">
        <v>34</v>
      </c>
    </row>
    <row r="28" spans="1:23" ht="12.75">
      <c r="A28" s="26">
        <v>820772</v>
      </c>
      <c r="B28" s="10" t="s">
        <v>323</v>
      </c>
      <c r="C28" s="10" t="s">
        <v>324</v>
      </c>
      <c r="D28" s="24">
        <v>2003</v>
      </c>
      <c r="E28" s="26" t="s">
        <v>250</v>
      </c>
      <c r="F28" s="4">
        <v>3.4</v>
      </c>
      <c r="G28" s="4">
        <f>SUM(10-(3.3+3.3)/2)</f>
        <v>6.7</v>
      </c>
      <c r="H28" s="4">
        <v>0</v>
      </c>
      <c r="I28" s="5">
        <f t="shared" si="0"/>
        <v>10.1</v>
      </c>
      <c r="J28" s="4">
        <v>3.7</v>
      </c>
      <c r="K28" s="4">
        <f>SUM(10-(1.7+2)/2)</f>
        <v>8.15</v>
      </c>
      <c r="L28" s="4">
        <v>0</v>
      </c>
      <c r="M28" s="5">
        <f t="shared" si="1"/>
        <v>11.850000000000001</v>
      </c>
      <c r="N28" s="4">
        <v>3.7</v>
      </c>
      <c r="O28" s="4">
        <f>SUM(10-(3.9+3.6)/2)</f>
        <v>6.25</v>
      </c>
      <c r="P28" s="4">
        <v>0</v>
      </c>
      <c r="Q28" s="5">
        <f t="shared" si="2"/>
        <v>9.95</v>
      </c>
      <c r="R28" s="4">
        <v>3.9</v>
      </c>
      <c r="S28" s="4">
        <f>SUM(10-(2.2+2.4)/2)</f>
        <v>7.7</v>
      </c>
      <c r="T28" s="4">
        <v>0</v>
      </c>
      <c r="U28" s="5">
        <f t="shared" si="3"/>
        <v>11.6</v>
      </c>
      <c r="V28" s="5">
        <f t="shared" si="4"/>
        <v>43.5</v>
      </c>
      <c r="W28" s="20" t="s">
        <v>35</v>
      </c>
    </row>
    <row r="29" spans="1:23" ht="12.75">
      <c r="A29" s="26">
        <v>638609</v>
      </c>
      <c r="B29" s="10" t="s">
        <v>221</v>
      </c>
      <c r="C29" s="10" t="s">
        <v>76</v>
      </c>
      <c r="D29" s="24">
        <v>2003</v>
      </c>
      <c r="E29" s="26" t="s">
        <v>375</v>
      </c>
      <c r="F29" s="4">
        <v>3.4</v>
      </c>
      <c r="G29" s="4">
        <f>SUM(10-(3+3)/2)</f>
        <v>7</v>
      </c>
      <c r="H29" s="4">
        <v>0</v>
      </c>
      <c r="I29" s="5">
        <f t="shared" si="0"/>
        <v>10.4</v>
      </c>
      <c r="J29" s="4">
        <v>3.7</v>
      </c>
      <c r="K29" s="4">
        <f>SUM(10-(3+2.6)/2)</f>
        <v>7.2</v>
      </c>
      <c r="L29" s="4">
        <v>0</v>
      </c>
      <c r="M29" s="5">
        <f t="shared" si="1"/>
        <v>10.9</v>
      </c>
      <c r="N29" s="4">
        <v>3.8</v>
      </c>
      <c r="O29" s="4">
        <f>SUM(10-(4.2+4.2)/2)</f>
        <v>5.8</v>
      </c>
      <c r="P29" s="4">
        <v>0</v>
      </c>
      <c r="Q29" s="5">
        <f t="shared" si="2"/>
        <v>9.6</v>
      </c>
      <c r="R29" s="4">
        <v>4.5</v>
      </c>
      <c r="S29" s="4">
        <f>SUM(10-(2.3+2.3)/2)</f>
        <v>7.7</v>
      </c>
      <c r="T29" s="4">
        <v>0</v>
      </c>
      <c r="U29" s="5">
        <f t="shared" si="3"/>
        <v>12.2</v>
      </c>
      <c r="V29" s="5">
        <f t="shared" si="4"/>
        <v>43.099999999999994</v>
      </c>
      <c r="W29" s="20" t="s">
        <v>36</v>
      </c>
    </row>
    <row r="30" spans="1:23" ht="12.75">
      <c r="A30" s="26">
        <v>759093</v>
      </c>
      <c r="B30" s="10" t="s">
        <v>356</v>
      </c>
      <c r="C30" s="10" t="s">
        <v>70</v>
      </c>
      <c r="D30" s="24">
        <v>2003</v>
      </c>
      <c r="E30" s="26" t="s">
        <v>204</v>
      </c>
      <c r="F30" s="4">
        <v>3.4</v>
      </c>
      <c r="G30" s="4">
        <f>SUM(10-(3.1+3.1)/2)</f>
        <v>6.9</v>
      </c>
      <c r="H30" s="4">
        <v>0</v>
      </c>
      <c r="I30" s="5">
        <f t="shared" si="0"/>
        <v>10.3</v>
      </c>
      <c r="J30" s="4">
        <v>3.7</v>
      </c>
      <c r="K30" s="4">
        <f>SUM(10-(3.1+3.6)/2)</f>
        <v>6.65</v>
      </c>
      <c r="L30" s="4">
        <v>0</v>
      </c>
      <c r="M30" s="5">
        <f t="shared" si="1"/>
        <v>10.350000000000001</v>
      </c>
      <c r="N30" s="4">
        <v>3.4</v>
      </c>
      <c r="O30" s="4">
        <f>SUM(10-(2.6+3)/2)</f>
        <v>7.2</v>
      </c>
      <c r="P30" s="4">
        <v>0</v>
      </c>
      <c r="Q30" s="5">
        <f t="shared" si="2"/>
        <v>10.6</v>
      </c>
      <c r="R30" s="4">
        <v>3.6</v>
      </c>
      <c r="S30" s="4">
        <f>SUM(10-(2+2)/2)</f>
        <v>8</v>
      </c>
      <c r="T30" s="4">
        <v>0</v>
      </c>
      <c r="U30" s="5">
        <f t="shared" si="3"/>
        <v>11.6</v>
      </c>
      <c r="V30" s="5">
        <f t="shared" si="4"/>
        <v>42.85</v>
      </c>
      <c r="W30" s="20" t="s">
        <v>37</v>
      </c>
    </row>
    <row r="31" spans="1:23" ht="12.75">
      <c r="A31" s="26">
        <v>803799</v>
      </c>
      <c r="B31" s="10" t="s">
        <v>314</v>
      </c>
      <c r="C31" s="10" t="s">
        <v>46</v>
      </c>
      <c r="D31" s="24">
        <v>2004</v>
      </c>
      <c r="E31" s="26" t="s">
        <v>51</v>
      </c>
      <c r="F31" s="27">
        <v>3.4</v>
      </c>
      <c r="G31" s="4">
        <f>SUM(10-(3.4+3.1)/2)</f>
        <v>6.75</v>
      </c>
      <c r="H31" s="4">
        <v>0</v>
      </c>
      <c r="I31" s="5">
        <f t="shared" si="0"/>
        <v>10.15</v>
      </c>
      <c r="J31" s="4">
        <v>2.9</v>
      </c>
      <c r="K31" s="4">
        <f>SUM(10-(3.5+3.3)/2)</f>
        <v>6.6</v>
      </c>
      <c r="L31" s="4">
        <v>0</v>
      </c>
      <c r="M31" s="5">
        <f t="shared" si="1"/>
        <v>9.5</v>
      </c>
      <c r="N31" s="4">
        <v>3.7</v>
      </c>
      <c r="O31" s="4">
        <f>SUM(10-(3+3.2)/2)</f>
        <v>6.9</v>
      </c>
      <c r="P31" s="4">
        <v>0</v>
      </c>
      <c r="Q31" s="5">
        <f t="shared" si="2"/>
        <v>10.600000000000001</v>
      </c>
      <c r="R31" s="4">
        <v>3.9</v>
      </c>
      <c r="S31" s="4">
        <f>SUM(10-(2.4+2.6)/2)</f>
        <v>7.5</v>
      </c>
      <c r="T31" s="4">
        <v>0</v>
      </c>
      <c r="U31" s="5">
        <f t="shared" si="3"/>
        <v>11.4</v>
      </c>
      <c r="V31" s="5">
        <f t="shared" si="4"/>
        <v>41.65</v>
      </c>
      <c r="W31" s="20" t="s">
        <v>32</v>
      </c>
    </row>
    <row r="32" spans="1:23" ht="12.75">
      <c r="A32" s="26">
        <v>780762</v>
      </c>
      <c r="B32" s="10" t="s">
        <v>331</v>
      </c>
      <c r="C32" s="10" t="s">
        <v>332</v>
      </c>
      <c r="D32" s="24">
        <v>2003</v>
      </c>
      <c r="E32" s="26" t="s">
        <v>80</v>
      </c>
      <c r="F32" s="4">
        <v>3.4</v>
      </c>
      <c r="G32" s="4">
        <f>SUM(10-(5.8+5.6)/2)</f>
        <v>4.300000000000001</v>
      </c>
      <c r="H32" s="4">
        <v>0</v>
      </c>
      <c r="I32" s="5">
        <f t="shared" si="0"/>
        <v>7.700000000000001</v>
      </c>
      <c r="J32" s="4">
        <v>3.7</v>
      </c>
      <c r="K32" s="4">
        <f>SUM(10-(3.9+3.9)/2)</f>
        <v>6.1</v>
      </c>
      <c r="L32" s="4">
        <v>0</v>
      </c>
      <c r="M32" s="5">
        <f t="shared" si="1"/>
        <v>9.8</v>
      </c>
      <c r="N32" s="4">
        <v>3.9</v>
      </c>
      <c r="O32" s="4">
        <f>SUM(10-(2.4+2.7)/2)</f>
        <v>7.45</v>
      </c>
      <c r="P32" s="4">
        <v>0</v>
      </c>
      <c r="Q32" s="5">
        <f t="shared" si="2"/>
        <v>11.35</v>
      </c>
      <c r="R32" s="4">
        <v>3.8</v>
      </c>
      <c r="S32" s="4">
        <f>SUM(10-(2+2.2)/2)</f>
        <v>7.9</v>
      </c>
      <c r="T32" s="4">
        <v>0</v>
      </c>
      <c r="U32" s="5">
        <f t="shared" si="3"/>
        <v>11.7</v>
      </c>
      <c r="V32" s="5">
        <f t="shared" si="4"/>
        <v>40.55</v>
      </c>
      <c r="W32" s="20" t="s">
        <v>33</v>
      </c>
    </row>
    <row r="33" spans="1:23" ht="12.75">
      <c r="A33" s="26">
        <v>816106</v>
      </c>
      <c r="B33" s="10" t="s">
        <v>391</v>
      </c>
      <c r="C33" s="49" t="s">
        <v>392</v>
      </c>
      <c r="D33" s="24">
        <v>2004</v>
      </c>
      <c r="E33" s="26" t="s">
        <v>393</v>
      </c>
      <c r="F33" s="4">
        <v>3.4</v>
      </c>
      <c r="G33" s="4">
        <f>SUM(10-(2.2+2.6)/2)</f>
        <v>7.6</v>
      </c>
      <c r="H33" s="4">
        <v>0</v>
      </c>
      <c r="I33" s="5">
        <f t="shared" si="0"/>
        <v>11</v>
      </c>
      <c r="J33" s="4">
        <v>2.9</v>
      </c>
      <c r="K33" s="4">
        <f>SUM(10-(4.4+4.8)/2)</f>
        <v>5.4</v>
      </c>
      <c r="L33" s="4">
        <v>1</v>
      </c>
      <c r="M33" s="5">
        <f t="shared" si="1"/>
        <v>7.300000000000001</v>
      </c>
      <c r="N33" s="4">
        <v>3.8</v>
      </c>
      <c r="O33" s="4">
        <f>SUM(10-(3.1+3)/2)</f>
        <v>6.95</v>
      </c>
      <c r="P33" s="4">
        <v>0</v>
      </c>
      <c r="Q33" s="5">
        <f t="shared" si="2"/>
        <v>10.75</v>
      </c>
      <c r="R33" s="4">
        <v>3.8</v>
      </c>
      <c r="S33" s="4">
        <f>SUM(10-(2.6+2.4)/2)</f>
        <v>7.5</v>
      </c>
      <c r="T33" s="4">
        <v>0</v>
      </c>
      <c r="U33" s="5">
        <f t="shared" si="3"/>
        <v>11.3</v>
      </c>
      <c r="V33" s="5">
        <f t="shared" si="4"/>
        <v>40.35</v>
      </c>
      <c r="W33" s="20" t="s">
        <v>38</v>
      </c>
    </row>
    <row r="34" spans="1:23" ht="12.75">
      <c r="A34" s="26">
        <v>759092</v>
      </c>
      <c r="B34" s="10" t="s">
        <v>355</v>
      </c>
      <c r="C34" s="10" t="s">
        <v>75</v>
      </c>
      <c r="D34" s="24">
        <v>2003</v>
      </c>
      <c r="E34" s="26" t="s">
        <v>204</v>
      </c>
      <c r="F34" s="4">
        <v>3.4</v>
      </c>
      <c r="G34" s="4">
        <f>SUM(10-(4+4.2)/2)</f>
        <v>5.9</v>
      </c>
      <c r="H34" s="4">
        <v>0</v>
      </c>
      <c r="I34" s="5">
        <f t="shared" si="0"/>
        <v>9.3</v>
      </c>
      <c r="J34" s="4">
        <v>3.7</v>
      </c>
      <c r="K34" s="4">
        <f>SUM(10-(3.6+3.3)/2)</f>
        <v>6.55</v>
      </c>
      <c r="L34" s="4">
        <v>0</v>
      </c>
      <c r="M34" s="5">
        <f t="shared" si="1"/>
        <v>10.25</v>
      </c>
      <c r="N34" s="4">
        <v>3.7</v>
      </c>
      <c r="O34" s="4">
        <f>SUM(10-(3.5+3.9)/2)</f>
        <v>6.3</v>
      </c>
      <c r="P34" s="4">
        <v>0</v>
      </c>
      <c r="Q34" s="5">
        <f t="shared" si="2"/>
        <v>10</v>
      </c>
      <c r="R34" s="4">
        <v>3.3</v>
      </c>
      <c r="S34" s="4">
        <f>SUM(10-(2.9+2.5)/2)</f>
        <v>7.3</v>
      </c>
      <c r="T34" s="4">
        <v>0</v>
      </c>
      <c r="U34" s="5">
        <f t="shared" si="3"/>
        <v>10.6</v>
      </c>
      <c r="V34" s="5">
        <f t="shared" si="4"/>
        <v>40.15</v>
      </c>
      <c r="W34" s="20" t="s">
        <v>115</v>
      </c>
    </row>
    <row r="35" spans="1:23" ht="12.75">
      <c r="A35" s="26">
        <v>632116</v>
      </c>
      <c r="B35" s="10" t="s">
        <v>364</v>
      </c>
      <c r="C35" s="10" t="s">
        <v>60</v>
      </c>
      <c r="D35" s="24">
        <v>2003</v>
      </c>
      <c r="E35" s="26" t="s">
        <v>379</v>
      </c>
      <c r="F35" s="47">
        <v>3.4</v>
      </c>
      <c r="G35" s="4">
        <f>SUM(10-(2.4+2.9)/2)</f>
        <v>7.35</v>
      </c>
      <c r="H35" s="4">
        <v>0</v>
      </c>
      <c r="I35" s="5">
        <f t="shared" si="0"/>
        <v>10.75</v>
      </c>
      <c r="J35" s="4">
        <v>2.9</v>
      </c>
      <c r="K35" s="4">
        <f>SUM(10-(5+4.5)/2)</f>
        <v>5.25</v>
      </c>
      <c r="L35" s="4">
        <v>1</v>
      </c>
      <c r="M35" s="5">
        <f t="shared" si="1"/>
        <v>7.15</v>
      </c>
      <c r="N35" s="4">
        <v>3.7</v>
      </c>
      <c r="O35" s="4">
        <f>SUM(10-(2.5+2.8)/2)</f>
        <v>7.35</v>
      </c>
      <c r="P35" s="4">
        <v>0</v>
      </c>
      <c r="Q35" s="5">
        <f t="shared" si="2"/>
        <v>11.05</v>
      </c>
      <c r="R35" s="4">
        <v>3.7</v>
      </c>
      <c r="S35" s="4">
        <f>SUM(10-(3+2.9)/2)</f>
        <v>7.05</v>
      </c>
      <c r="T35" s="4">
        <v>0</v>
      </c>
      <c r="U35" s="5">
        <f t="shared" si="3"/>
        <v>10.75</v>
      </c>
      <c r="V35" s="5">
        <f t="shared" si="4"/>
        <v>39.7</v>
      </c>
      <c r="W35" s="20" t="s">
        <v>116</v>
      </c>
    </row>
    <row r="36" spans="1:23" ht="12.75">
      <c r="A36" s="26">
        <v>684304</v>
      </c>
      <c r="B36" s="10" t="s">
        <v>357</v>
      </c>
      <c r="C36" s="10" t="s">
        <v>66</v>
      </c>
      <c r="D36" s="24">
        <v>2004</v>
      </c>
      <c r="E36" s="26" t="s">
        <v>204</v>
      </c>
      <c r="F36" s="4">
        <v>3.4</v>
      </c>
      <c r="G36" s="4">
        <f>SUM(10-(4.1+3.8)/2)</f>
        <v>6.050000000000001</v>
      </c>
      <c r="H36" s="4">
        <v>0</v>
      </c>
      <c r="I36" s="5">
        <f t="shared" si="0"/>
        <v>9.450000000000001</v>
      </c>
      <c r="J36" s="4">
        <v>3.7</v>
      </c>
      <c r="K36" s="4">
        <f>SUM(10-(3.5+3)/2)</f>
        <v>6.75</v>
      </c>
      <c r="L36" s="4">
        <v>0</v>
      </c>
      <c r="M36" s="5">
        <f t="shared" si="1"/>
        <v>10.45</v>
      </c>
      <c r="N36" s="4">
        <v>3.4</v>
      </c>
      <c r="O36" s="4">
        <f>SUM(10-(4.3+4.3)/2)</f>
        <v>5.7</v>
      </c>
      <c r="P36" s="4">
        <v>0</v>
      </c>
      <c r="Q36" s="5">
        <f t="shared" si="2"/>
        <v>9.1</v>
      </c>
      <c r="R36" s="4">
        <v>3</v>
      </c>
      <c r="S36" s="4">
        <f>SUM(10-(2.4+2.7)/2)</f>
        <v>7.45</v>
      </c>
      <c r="T36" s="4">
        <v>0</v>
      </c>
      <c r="U36" s="5">
        <f t="shared" si="3"/>
        <v>10.45</v>
      </c>
      <c r="V36" s="5">
        <f t="shared" si="4"/>
        <v>39.45</v>
      </c>
      <c r="W36" s="20" t="s">
        <v>117</v>
      </c>
    </row>
    <row r="37" spans="1:23" ht="12.75">
      <c r="A37" s="26">
        <v>818977</v>
      </c>
      <c r="B37" s="10" t="s">
        <v>388</v>
      </c>
      <c r="C37" s="49" t="s">
        <v>389</v>
      </c>
      <c r="D37" s="24">
        <v>2003</v>
      </c>
      <c r="E37" s="26" t="s">
        <v>62</v>
      </c>
      <c r="F37" s="4">
        <v>3.4</v>
      </c>
      <c r="G37" s="4">
        <f>SUM(10-(2.6+2.3)/2)</f>
        <v>7.55</v>
      </c>
      <c r="H37" s="4">
        <v>0</v>
      </c>
      <c r="I37" s="5">
        <f t="shared" si="0"/>
        <v>10.95</v>
      </c>
      <c r="J37" s="4">
        <v>2.3</v>
      </c>
      <c r="K37" s="4">
        <f>SUM(10-(5.4+5.4)/2)</f>
        <v>4.6</v>
      </c>
      <c r="L37" s="4">
        <v>0</v>
      </c>
      <c r="M37" s="5">
        <f t="shared" si="1"/>
        <v>6.8999999999999995</v>
      </c>
      <c r="N37" s="4">
        <v>3.8</v>
      </c>
      <c r="O37" s="4">
        <f>SUM(10-(4.4+4.4)/2)</f>
        <v>5.6</v>
      </c>
      <c r="P37" s="4">
        <v>0</v>
      </c>
      <c r="Q37" s="5">
        <f t="shared" si="2"/>
        <v>9.399999999999999</v>
      </c>
      <c r="R37" s="4">
        <v>4</v>
      </c>
      <c r="S37" s="4">
        <f>SUM(10-(1.9+2.1)/2)</f>
        <v>8</v>
      </c>
      <c r="T37" s="4">
        <v>0</v>
      </c>
      <c r="U37" s="5">
        <f t="shared" si="3"/>
        <v>12</v>
      </c>
      <c r="V37" s="5">
        <f t="shared" si="4"/>
        <v>39.25</v>
      </c>
      <c r="W37" s="20" t="s">
        <v>118</v>
      </c>
    </row>
    <row r="38" spans="1:23" ht="12.75">
      <c r="A38" s="26">
        <v>817139</v>
      </c>
      <c r="B38" s="10" t="s">
        <v>368</v>
      </c>
      <c r="C38" s="10" t="s">
        <v>369</v>
      </c>
      <c r="D38" s="24">
        <v>2003</v>
      </c>
      <c r="E38" s="26" t="s">
        <v>65</v>
      </c>
      <c r="F38" s="47">
        <v>3.4</v>
      </c>
      <c r="G38" s="4">
        <f>SUM(10-(3.1+3)/2)</f>
        <v>6.95</v>
      </c>
      <c r="H38" s="4">
        <v>0</v>
      </c>
      <c r="I38" s="5">
        <f t="shared" si="0"/>
        <v>10.35</v>
      </c>
      <c r="J38" s="4">
        <v>3.7</v>
      </c>
      <c r="K38" s="4">
        <f>SUM(10-(3.7+3.2)/2)</f>
        <v>6.55</v>
      </c>
      <c r="L38" s="4">
        <v>0</v>
      </c>
      <c r="M38" s="5">
        <f t="shared" si="1"/>
        <v>10.25</v>
      </c>
      <c r="N38" s="4">
        <v>3.9</v>
      </c>
      <c r="O38" s="4">
        <f>SUM(10-(5.4+5)/2)</f>
        <v>4.8</v>
      </c>
      <c r="P38" s="4">
        <v>0</v>
      </c>
      <c r="Q38" s="5">
        <f t="shared" si="2"/>
        <v>8.7</v>
      </c>
      <c r="R38" s="4">
        <v>4.1</v>
      </c>
      <c r="S38" s="4">
        <f>SUM(10-(4.8+4.4)/2)</f>
        <v>5.4</v>
      </c>
      <c r="T38" s="4">
        <v>0</v>
      </c>
      <c r="U38" s="5">
        <f t="shared" si="3"/>
        <v>9.5</v>
      </c>
      <c r="V38" s="5">
        <f t="shared" si="4"/>
        <v>38.8</v>
      </c>
      <c r="W38" s="60" t="s">
        <v>119</v>
      </c>
    </row>
    <row r="39" spans="1:23" ht="12.75">
      <c r="A39" s="26">
        <v>768149</v>
      </c>
      <c r="B39" s="10" t="s">
        <v>319</v>
      </c>
      <c r="C39" s="10" t="s">
        <v>320</v>
      </c>
      <c r="D39" s="24">
        <v>2003</v>
      </c>
      <c r="E39" s="26" t="s">
        <v>51</v>
      </c>
      <c r="F39" s="27">
        <v>3.4</v>
      </c>
      <c r="G39" s="4">
        <f>SUM(10-(3+3.2)/2)</f>
        <v>6.9</v>
      </c>
      <c r="H39" s="4">
        <v>0</v>
      </c>
      <c r="I39" s="5">
        <f t="shared" si="0"/>
        <v>10.3</v>
      </c>
      <c r="J39" s="4">
        <v>2.8</v>
      </c>
      <c r="K39" s="4">
        <f>SUM(10-(3.2+3.2)/2)</f>
        <v>6.8</v>
      </c>
      <c r="L39" s="4">
        <v>3</v>
      </c>
      <c r="M39" s="5">
        <f t="shared" si="1"/>
        <v>6.6</v>
      </c>
      <c r="N39" s="4">
        <v>3.7</v>
      </c>
      <c r="O39" s="4">
        <f>SUM(10-(3.9+3.6)/2)</f>
        <v>6.25</v>
      </c>
      <c r="P39" s="4">
        <v>0</v>
      </c>
      <c r="Q39" s="5">
        <f t="shared" si="2"/>
        <v>9.95</v>
      </c>
      <c r="R39" s="4">
        <v>3.7</v>
      </c>
      <c r="S39" s="4">
        <f>SUM(10-(2.5+2.2)/2)</f>
        <v>7.65</v>
      </c>
      <c r="T39" s="4">
        <v>0</v>
      </c>
      <c r="U39" s="5">
        <f t="shared" si="3"/>
        <v>11.350000000000001</v>
      </c>
      <c r="V39" s="5">
        <f t="shared" si="4"/>
        <v>38.2</v>
      </c>
      <c r="W39" s="20" t="s">
        <v>120</v>
      </c>
    </row>
    <row r="40" spans="1:23" ht="12.75">
      <c r="A40" s="26">
        <v>814201</v>
      </c>
      <c r="B40" s="10" t="s">
        <v>394</v>
      </c>
      <c r="C40" s="49" t="s">
        <v>70</v>
      </c>
      <c r="D40" s="24">
        <v>2004</v>
      </c>
      <c r="E40" s="26" t="s">
        <v>71</v>
      </c>
      <c r="F40" s="4">
        <v>3.4</v>
      </c>
      <c r="G40" s="4">
        <f>SUM(10-(4.4+4.6)/2)</f>
        <v>5.5</v>
      </c>
      <c r="H40" s="4">
        <v>0</v>
      </c>
      <c r="I40" s="5">
        <f t="shared" si="0"/>
        <v>8.9</v>
      </c>
      <c r="J40" s="4">
        <v>2.9</v>
      </c>
      <c r="K40" s="4">
        <f>SUM(10-(2.7+2.8)/2)</f>
        <v>7.25</v>
      </c>
      <c r="L40" s="4">
        <v>1</v>
      </c>
      <c r="M40" s="5">
        <f t="shared" si="1"/>
        <v>9.15</v>
      </c>
      <c r="N40" s="4">
        <v>3.7</v>
      </c>
      <c r="O40" s="4">
        <f>SUM(10-(5.3+5)/2)</f>
        <v>4.85</v>
      </c>
      <c r="P40" s="4">
        <v>0</v>
      </c>
      <c r="Q40" s="5">
        <f t="shared" si="2"/>
        <v>8.55</v>
      </c>
      <c r="R40" s="4">
        <v>3.6</v>
      </c>
      <c r="S40" s="4">
        <f>SUM(10-(2.4+2.4)/2)</f>
        <v>7.6</v>
      </c>
      <c r="T40" s="4">
        <v>0</v>
      </c>
      <c r="U40" s="5">
        <f t="shared" si="3"/>
        <v>11.2</v>
      </c>
      <c r="V40" s="5">
        <f aca="true" t="shared" si="5" ref="V40:V71">SUM(I40+M40+Q40+U40)</f>
        <v>37.8</v>
      </c>
      <c r="W40" s="20" t="s">
        <v>121</v>
      </c>
    </row>
    <row r="41" spans="1:23" ht="12.75">
      <c r="A41" s="26">
        <v>817958</v>
      </c>
      <c r="B41" s="10" t="s">
        <v>317</v>
      </c>
      <c r="C41" s="10" t="s">
        <v>318</v>
      </c>
      <c r="D41" s="24">
        <v>2004</v>
      </c>
      <c r="E41" s="26" t="s">
        <v>51</v>
      </c>
      <c r="F41" s="27">
        <v>1</v>
      </c>
      <c r="G41" s="4">
        <f>SUM(10-(2.4+2.2)/2)</f>
        <v>7.7</v>
      </c>
      <c r="H41" s="4">
        <v>0</v>
      </c>
      <c r="I41" s="5">
        <f t="shared" si="0"/>
        <v>8.7</v>
      </c>
      <c r="J41" s="4">
        <v>2.9</v>
      </c>
      <c r="K41" s="4">
        <f>SUM(10-(3.4+3)/2)</f>
        <v>6.8</v>
      </c>
      <c r="L41" s="4">
        <v>1</v>
      </c>
      <c r="M41" s="5">
        <f t="shared" si="1"/>
        <v>8.7</v>
      </c>
      <c r="N41" s="4">
        <v>3.7</v>
      </c>
      <c r="O41" s="4">
        <f>SUM(10-(4.2+4.2)/2)</f>
        <v>5.8</v>
      </c>
      <c r="P41" s="4">
        <v>0</v>
      </c>
      <c r="Q41" s="5">
        <f t="shared" si="2"/>
        <v>9.5</v>
      </c>
      <c r="R41" s="4">
        <v>3.7</v>
      </c>
      <c r="S41" s="4">
        <f>SUM(10-(3.2+3.4)/2)</f>
        <v>6.7</v>
      </c>
      <c r="T41" s="4">
        <v>0</v>
      </c>
      <c r="U41" s="5">
        <f t="shared" si="3"/>
        <v>10.4</v>
      </c>
      <c r="V41" s="5">
        <f t="shared" si="5"/>
        <v>37.3</v>
      </c>
      <c r="W41" s="20" t="s">
        <v>122</v>
      </c>
    </row>
    <row r="42" spans="1:23" ht="12.75">
      <c r="A42" s="26">
        <v>803801</v>
      </c>
      <c r="B42" s="10" t="s">
        <v>316</v>
      </c>
      <c r="C42" s="10" t="s">
        <v>69</v>
      </c>
      <c r="D42" s="24">
        <v>2004</v>
      </c>
      <c r="E42" s="26" t="s">
        <v>51</v>
      </c>
      <c r="F42" s="27">
        <v>3.4</v>
      </c>
      <c r="G42" s="4">
        <f>SUM(10-(4.7+4.5)/2)</f>
        <v>5.4</v>
      </c>
      <c r="H42" s="4">
        <v>0</v>
      </c>
      <c r="I42" s="5">
        <f t="shared" si="0"/>
        <v>8.8</v>
      </c>
      <c r="J42" s="4">
        <v>2.1</v>
      </c>
      <c r="K42" s="4">
        <f>SUM(10-(3.9+3.6)/2)</f>
        <v>6.25</v>
      </c>
      <c r="L42" s="4">
        <v>1</v>
      </c>
      <c r="M42" s="5">
        <f t="shared" si="1"/>
        <v>7.35</v>
      </c>
      <c r="N42" s="4">
        <v>4</v>
      </c>
      <c r="O42" s="4">
        <f>SUM(10-(3.2+3.4)/2)</f>
        <v>6.7</v>
      </c>
      <c r="P42" s="4">
        <v>0</v>
      </c>
      <c r="Q42" s="5">
        <f t="shared" si="2"/>
        <v>10.7</v>
      </c>
      <c r="R42" s="4">
        <v>3.3</v>
      </c>
      <c r="S42" s="4">
        <f>SUM(10-(3+3)/2)</f>
        <v>7</v>
      </c>
      <c r="T42" s="4">
        <v>0</v>
      </c>
      <c r="U42" s="5">
        <f t="shared" si="3"/>
        <v>10.3</v>
      </c>
      <c r="V42" s="5">
        <f t="shared" si="5"/>
        <v>37.15</v>
      </c>
      <c r="W42" s="20" t="s">
        <v>123</v>
      </c>
    </row>
    <row r="43" spans="1:23" ht="12.75">
      <c r="A43" s="26">
        <v>810013</v>
      </c>
      <c r="B43" s="10" t="s">
        <v>111</v>
      </c>
      <c r="C43" s="10" t="s">
        <v>370</v>
      </c>
      <c r="D43" s="24">
        <v>2003</v>
      </c>
      <c r="E43" s="26" t="s">
        <v>62</v>
      </c>
      <c r="F43" s="47">
        <v>3.4</v>
      </c>
      <c r="G43" s="4">
        <f>SUM(10-(3+2.7)/2)</f>
        <v>7.15</v>
      </c>
      <c r="H43" s="4">
        <v>0</v>
      </c>
      <c r="I43" s="5">
        <f t="shared" si="0"/>
        <v>10.55</v>
      </c>
      <c r="J43" s="4">
        <v>2.8</v>
      </c>
      <c r="K43" s="4">
        <f>SUM(10-(5.4+5.3)/2)</f>
        <v>4.65</v>
      </c>
      <c r="L43" s="4">
        <v>2</v>
      </c>
      <c r="M43" s="5">
        <f t="shared" si="1"/>
        <v>5.45</v>
      </c>
      <c r="N43" s="4">
        <v>3.8</v>
      </c>
      <c r="O43" s="4">
        <f>SUM(10-(3.6+4)/2)</f>
        <v>6.2</v>
      </c>
      <c r="P43" s="4">
        <v>0</v>
      </c>
      <c r="Q43" s="5">
        <f t="shared" si="2"/>
        <v>10</v>
      </c>
      <c r="R43" s="4">
        <v>3.7</v>
      </c>
      <c r="S43" s="4">
        <f>SUM(10-(2.8+3)/2)</f>
        <v>7.1</v>
      </c>
      <c r="T43" s="4">
        <v>0</v>
      </c>
      <c r="U43" s="5">
        <f t="shared" si="3"/>
        <v>10.8</v>
      </c>
      <c r="V43" s="5">
        <f t="shared" si="5"/>
        <v>36.8</v>
      </c>
      <c r="W43" s="20" t="s">
        <v>124</v>
      </c>
    </row>
    <row r="44" spans="1:23" ht="12.75">
      <c r="A44" s="26">
        <v>669897</v>
      </c>
      <c r="B44" s="10" t="s">
        <v>348</v>
      </c>
      <c r="C44" s="10" t="s">
        <v>53</v>
      </c>
      <c r="D44" s="24">
        <v>2003</v>
      </c>
      <c r="E44" s="26" t="s">
        <v>377</v>
      </c>
      <c r="F44" s="4">
        <v>3.4</v>
      </c>
      <c r="G44" s="4">
        <f>SUM(10-(3.3+3)/2)</f>
        <v>6.85</v>
      </c>
      <c r="H44" s="4">
        <v>0</v>
      </c>
      <c r="I44" s="5">
        <f t="shared" si="0"/>
        <v>10.25</v>
      </c>
      <c r="J44" s="4">
        <v>2.3</v>
      </c>
      <c r="K44" s="4">
        <f>SUM(10-(4.6+4.1)/2)</f>
        <v>5.65</v>
      </c>
      <c r="L44" s="4">
        <v>2</v>
      </c>
      <c r="M44" s="5">
        <f t="shared" si="1"/>
        <v>5.95</v>
      </c>
      <c r="N44" s="4">
        <v>3</v>
      </c>
      <c r="O44" s="4">
        <f>SUM(10-(4.5+4.7)/2)</f>
        <v>5.4</v>
      </c>
      <c r="P44" s="4">
        <v>0</v>
      </c>
      <c r="Q44" s="5">
        <f t="shared" si="2"/>
        <v>8.4</v>
      </c>
      <c r="R44" s="4">
        <v>3.9</v>
      </c>
      <c r="S44" s="4">
        <f>SUM(10-(4.5+4.3)/2)</f>
        <v>5.6</v>
      </c>
      <c r="T44" s="4">
        <v>0</v>
      </c>
      <c r="U44" s="5">
        <f t="shared" si="3"/>
        <v>9.5</v>
      </c>
      <c r="V44" s="5">
        <f t="shared" si="5"/>
        <v>34.1</v>
      </c>
      <c r="W44" s="20" t="s">
        <v>125</v>
      </c>
    </row>
    <row r="45" spans="1:23" ht="12.75">
      <c r="A45" s="26">
        <v>617934</v>
      </c>
      <c r="B45" s="10" t="s">
        <v>351</v>
      </c>
      <c r="C45" s="10" t="s">
        <v>56</v>
      </c>
      <c r="D45" s="24">
        <v>2004</v>
      </c>
      <c r="E45" s="26" t="s">
        <v>61</v>
      </c>
      <c r="F45" s="4">
        <v>3.4</v>
      </c>
      <c r="G45" s="4">
        <f>SUM(10-(4.5+4.5)/2)</f>
        <v>5.5</v>
      </c>
      <c r="H45" s="4">
        <v>0</v>
      </c>
      <c r="I45" s="5">
        <f t="shared" si="0"/>
        <v>8.9</v>
      </c>
      <c r="J45" s="4">
        <v>1.4</v>
      </c>
      <c r="K45" s="4">
        <f>SUM(10-(4.3+4.5)/2)</f>
        <v>5.6</v>
      </c>
      <c r="L45" s="4">
        <v>2</v>
      </c>
      <c r="M45" s="5">
        <f t="shared" si="1"/>
        <v>5</v>
      </c>
      <c r="N45" s="4">
        <v>2</v>
      </c>
      <c r="O45" s="4">
        <f>SUM(10-(3.5+3.6)/2)</f>
        <v>6.45</v>
      </c>
      <c r="P45" s="4">
        <v>1</v>
      </c>
      <c r="Q45" s="5">
        <f t="shared" si="2"/>
        <v>7.449999999999999</v>
      </c>
      <c r="R45" s="4">
        <v>4</v>
      </c>
      <c r="S45" s="4">
        <f>SUM(10-(3.2+3)/2)</f>
        <v>6.9</v>
      </c>
      <c r="T45" s="4">
        <v>0</v>
      </c>
      <c r="U45" s="5">
        <f t="shared" si="3"/>
        <v>10.9</v>
      </c>
      <c r="V45" s="5">
        <f t="shared" si="5"/>
        <v>32.25</v>
      </c>
      <c r="W45" s="20" t="s">
        <v>126</v>
      </c>
    </row>
    <row r="46" spans="1:23" ht="12.75">
      <c r="A46" s="26">
        <v>666161</v>
      </c>
      <c r="B46" s="10" t="s">
        <v>342</v>
      </c>
      <c r="C46" s="10" t="s">
        <v>343</v>
      </c>
      <c r="D46" s="24">
        <v>2004</v>
      </c>
      <c r="E46" s="26" t="s">
        <v>377</v>
      </c>
      <c r="F46" s="4">
        <v>1</v>
      </c>
      <c r="G46" s="4">
        <f>SUM(10-(3.4+3.7)/2)</f>
        <v>6.45</v>
      </c>
      <c r="H46" s="4">
        <v>0</v>
      </c>
      <c r="I46" s="5">
        <f t="shared" si="0"/>
        <v>7.45</v>
      </c>
      <c r="J46" s="4">
        <v>2</v>
      </c>
      <c r="K46" s="4">
        <f>SUM(10-(4.2+3.8)/2)</f>
        <v>6</v>
      </c>
      <c r="L46" s="4">
        <v>2</v>
      </c>
      <c r="M46" s="5">
        <f t="shared" si="1"/>
        <v>6</v>
      </c>
      <c r="N46" s="4">
        <v>3.2</v>
      </c>
      <c r="O46" s="4">
        <f>SUM(10-(3.2+3)/2)</f>
        <v>6.9</v>
      </c>
      <c r="P46" s="4">
        <v>0</v>
      </c>
      <c r="Q46" s="5">
        <f t="shared" si="2"/>
        <v>10.100000000000001</v>
      </c>
      <c r="R46" s="4">
        <v>2.9</v>
      </c>
      <c r="S46" s="4">
        <f>SUM(10-(2.6+2.8)/2)</f>
        <v>7.3</v>
      </c>
      <c r="T46" s="4">
        <v>2</v>
      </c>
      <c r="U46" s="5">
        <f t="shared" si="3"/>
        <v>8.2</v>
      </c>
      <c r="V46" s="5">
        <f t="shared" si="5"/>
        <v>31.75</v>
      </c>
      <c r="W46" s="20" t="s">
        <v>127</v>
      </c>
    </row>
    <row r="47" spans="1:23" ht="12.75">
      <c r="A47" s="26">
        <v>814256</v>
      </c>
      <c r="B47" s="10" t="s">
        <v>373</v>
      </c>
      <c r="C47" s="10" t="s">
        <v>374</v>
      </c>
      <c r="D47" s="24">
        <v>2004</v>
      </c>
      <c r="E47" s="26" t="s">
        <v>71</v>
      </c>
      <c r="F47" s="47">
        <v>3.4</v>
      </c>
      <c r="G47" s="4">
        <f>SUM(10-(6.3+6.1)/2)</f>
        <v>3.8000000000000007</v>
      </c>
      <c r="H47" s="4">
        <v>0</v>
      </c>
      <c r="I47" s="5">
        <f t="shared" si="0"/>
        <v>7.200000000000001</v>
      </c>
      <c r="J47" s="4">
        <v>1.4</v>
      </c>
      <c r="K47" s="4">
        <f>SUM(10-(3.4+3.5)/2)</f>
        <v>6.55</v>
      </c>
      <c r="L47" s="4">
        <v>3</v>
      </c>
      <c r="M47" s="5">
        <f t="shared" si="1"/>
        <v>4.949999999999999</v>
      </c>
      <c r="N47" s="4">
        <v>3.5</v>
      </c>
      <c r="O47" s="4">
        <f>SUM(10-(6+5.6)/2)</f>
        <v>4.2</v>
      </c>
      <c r="P47" s="4">
        <v>0</v>
      </c>
      <c r="Q47" s="5">
        <f t="shared" si="2"/>
        <v>7.7</v>
      </c>
      <c r="R47" s="4">
        <v>2.6</v>
      </c>
      <c r="S47" s="4">
        <f>SUM(10-(4.5+4.3)/2)</f>
        <v>5.6</v>
      </c>
      <c r="T47" s="4">
        <v>0</v>
      </c>
      <c r="U47" s="5">
        <f t="shared" si="3"/>
        <v>8.2</v>
      </c>
      <c r="V47" s="5">
        <f t="shared" si="5"/>
        <v>28.05</v>
      </c>
      <c r="W47" s="20" t="s">
        <v>128</v>
      </c>
    </row>
    <row r="48" spans="1:23" ht="12.75">
      <c r="A48" s="26">
        <v>666164</v>
      </c>
      <c r="B48" s="10" t="s">
        <v>344</v>
      </c>
      <c r="C48" s="10" t="s">
        <v>345</v>
      </c>
      <c r="D48" s="24">
        <v>2003</v>
      </c>
      <c r="E48" s="26" t="s">
        <v>377</v>
      </c>
      <c r="F48" s="4">
        <v>3.4</v>
      </c>
      <c r="G48" s="4">
        <f>SUM(10-(3.5+3.4)/2)</f>
        <v>6.55</v>
      </c>
      <c r="H48" s="4">
        <v>0</v>
      </c>
      <c r="I48" s="5">
        <f t="shared" si="0"/>
        <v>9.95</v>
      </c>
      <c r="J48" s="4">
        <v>1.2</v>
      </c>
      <c r="K48" s="4">
        <f>SUM(10-(3.8+4)/2)</f>
        <v>6.1</v>
      </c>
      <c r="L48" s="4">
        <v>4</v>
      </c>
      <c r="M48" s="5">
        <f t="shared" si="1"/>
        <v>3.3</v>
      </c>
      <c r="N48" s="4">
        <v>1</v>
      </c>
      <c r="O48" s="4">
        <f>SUM(10-(5+5)/2)</f>
        <v>5</v>
      </c>
      <c r="P48" s="4">
        <v>3</v>
      </c>
      <c r="Q48" s="5">
        <f t="shared" si="2"/>
        <v>3</v>
      </c>
      <c r="R48" s="4">
        <v>3.9</v>
      </c>
      <c r="S48" s="4">
        <f>SUM(10-(3+3)/2)</f>
        <v>7</v>
      </c>
      <c r="T48" s="4">
        <v>0</v>
      </c>
      <c r="U48" s="5">
        <f t="shared" si="3"/>
        <v>10.9</v>
      </c>
      <c r="V48" s="5">
        <f t="shared" si="5"/>
        <v>27.15</v>
      </c>
      <c r="W48" s="60" t="s">
        <v>129</v>
      </c>
    </row>
    <row r="49" spans="1:23" ht="12.75">
      <c r="A49" s="26">
        <v>654002</v>
      </c>
      <c r="B49" s="10" t="s">
        <v>346</v>
      </c>
      <c r="C49" s="10" t="s">
        <v>347</v>
      </c>
      <c r="D49" s="24">
        <v>2003</v>
      </c>
      <c r="E49" s="26" t="s">
        <v>377</v>
      </c>
      <c r="F49" s="4">
        <v>0</v>
      </c>
      <c r="G49" s="4">
        <v>0</v>
      </c>
      <c r="H49" s="4">
        <v>0</v>
      </c>
      <c r="I49" s="5">
        <f t="shared" si="0"/>
        <v>0</v>
      </c>
      <c r="J49" s="4">
        <v>1.3</v>
      </c>
      <c r="K49" s="4">
        <f>SUM(10-(5.1+5)/2)</f>
        <v>4.95</v>
      </c>
      <c r="L49" s="4">
        <v>3</v>
      </c>
      <c r="M49" s="5">
        <f t="shared" si="1"/>
        <v>3.25</v>
      </c>
      <c r="N49" s="4">
        <v>1.7</v>
      </c>
      <c r="O49" s="4">
        <f>SUM(10-(3.9+3.6)/2)</f>
        <v>6.25</v>
      </c>
      <c r="P49" s="4">
        <v>0</v>
      </c>
      <c r="Q49" s="5">
        <f t="shared" si="2"/>
        <v>7.95</v>
      </c>
      <c r="R49" s="4">
        <v>3.1</v>
      </c>
      <c r="S49" s="4">
        <f>SUM(10-(3+2.7)/2)</f>
        <v>7.15</v>
      </c>
      <c r="T49" s="4">
        <v>1</v>
      </c>
      <c r="U49" s="5">
        <f t="shared" si="3"/>
        <v>9.25</v>
      </c>
      <c r="V49" s="5">
        <f t="shared" si="5"/>
        <v>20.45</v>
      </c>
      <c r="W49" s="20" t="s">
        <v>130</v>
      </c>
    </row>
    <row r="50" spans="1:23" ht="12.75">
      <c r="A50" s="26">
        <v>624454</v>
      </c>
      <c r="B50" s="10" t="s">
        <v>353</v>
      </c>
      <c r="C50" s="10" t="s">
        <v>354</v>
      </c>
      <c r="D50" s="24">
        <v>2003</v>
      </c>
      <c r="E50" s="26" t="s">
        <v>81</v>
      </c>
      <c r="F50" s="27">
        <v>0</v>
      </c>
      <c r="G50" s="27">
        <f aca="true" t="shared" si="6" ref="G50:G57">SUM(10-(0+0)/2)</f>
        <v>10</v>
      </c>
      <c r="H50" s="27">
        <v>0</v>
      </c>
      <c r="I50" s="59">
        <v>0</v>
      </c>
      <c r="J50" s="27">
        <v>3.1</v>
      </c>
      <c r="K50" s="27">
        <f>SUM(10-(5+4.6)/2)</f>
        <v>5.2</v>
      </c>
      <c r="L50" s="27">
        <v>0</v>
      </c>
      <c r="M50" s="59">
        <f t="shared" si="1"/>
        <v>8.3</v>
      </c>
      <c r="N50" s="27">
        <v>0</v>
      </c>
      <c r="O50" s="27">
        <f>SUM(10-(0+0)/2)</f>
        <v>10</v>
      </c>
      <c r="P50" s="27">
        <v>0</v>
      </c>
      <c r="Q50" s="59">
        <v>0</v>
      </c>
      <c r="R50" s="27">
        <v>0</v>
      </c>
      <c r="S50" s="27">
        <f aca="true" t="shared" si="7" ref="S50:S57">SUM(10-(0+0)/2)</f>
        <v>10</v>
      </c>
      <c r="T50" s="27">
        <v>0</v>
      </c>
      <c r="U50" s="59">
        <v>0</v>
      </c>
      <c r="V50" s="59">
        <f t="shared" si="5"/>
        <v>8.3</v>
      </c>
      <c r="W50" s="20" t="s">
        <v>131</v>
      </c>
    </row>
    <row r="51" spans="1:23" ht="12.75">
      <c r="A51" s="26">
        <v>555109</v>
      </c>
      <c r="B51" s="10" t="s">
        <v>85</v>
      </c>
      <c r="C51" s="10" t="s">
        <v>98</v>
      </c>
      <c r="D51" s="24">
        <v>2003</v>
      </c>
      <c r="E51" s="26" t="s">
        <v>102</v>
      </c>
      <c r="F51" s="4">
        <v>0</v>
      </c>
      <c r="G51" s="4">
        <f t="shared" si="6"/>
        <v>10</v>
      </c>
      <c r="H51" s="4">
        <v>0</v>
      </c>
      <c r="I51" s="5">
        <v>0</v>
      </c>
      <c r="J51" s="4">
        <v>0</v>
      </c>
      <c r="K51" s="4">
        <f aca="true" t="shared" si="8" ref="K51:K57">SUM(10-(0+0)/2)</f>
        <v>10</v>
      </c>
      <c r="L51" s="4">
        <v>0</v>
      </c>
      <c r="M51" s="5">
        <v>0</v>
      </c>
      <c r="N51" s="4">
        <v>0</v>
      </c>
      <c r="O51" s="4">
        <f>SUM(10-(0+0)/2)</f>
        <v>10</v>
      </c>
      <c r="P51" s="4">
        <v>0</v>
      </c>
      <c r="Q51" s="5">
        <v>0</v>
      </c>
      <c r="R51" s="4">
        <v>0</v>
      </c>
      <c r="S51" s="4">
        <f t="shared" si="7"/>
        <v>10</v>
      </c>
      <c r="T51" s="4">
        <v>0</v>
      </c>
      <c r="U51" s="5">
        <v>0</v>
      </c>
      <c r="V51" s="5">
        <f t="shared" si="5"/>
        <v>0</v>
      </c>
      <c r="W51" s="20" t="s">
        <v>132</v>
      </c>
    </row>
    <row r="52" spans="1:23" ht="12.75">
      <c r="A52" s="26">
        <v>761912</v>
      </c>
      <c r="B52" s="10" t="s">
        <v>333</v>
      </c>
      <c r="C52" s="10" t="s">
        <v>334</v>
      </c>
      <c r="D52" s="24">
        <v>2003</v>
      </c>
      <c r="E52" s="26" t="s">
        <v>376</v>
      </c>
      <c r="F52" s="4">
        <v>0</v>
      </c>
      <c r="G52" s="4">
        <f t="shared" si="6"/>
        <v>10</v>
      </c>
      <c r="H52" s="4">
        <v>0</v>
      </c>
      <c r="I52" s="5">
        <v>0</v>
      </c>
      <c r="J52" s="4">
        <v>0</v>
      </c>
      <c r="K52" s="4">
        <f t="shared" si="8"/>
        <v>10</v>
      </c>
      <c r="L52" s="4">
        <v>0</v>
      </c>
      <c r="M52" s="5">
        <v>0</v>
      </c>
      <c r="N52" s="4">
        <v>0</v>
      </c>
      <c r="O52" s="4">
        <v>0</v>
      </c>
      <c r="P52" s="4">
        <v>0</v>
      </c>
      <c r="Q52" s="5">
        <f>SUM(N52+O52-P52)</f>
        <v>0</v>
      </c>
      <c r="R52" s="4">
        <v>0</v>
      </c>
      <c r="S52" s="4">
        <f t="shared" si="7"/>
        <v>10</v>
      </c>
      <c r="T52" s="4">
        <v>0</v>
      </c>
      <c r="U52" s="5">
        <v>0</v>
      </c>
      <c r="V52" s="5">
        <f t="shared" si="5"/>
        <v>0</v>
      </c>
      <c r="W52" s="20" t="s">
        <v>133</v>
      </c>
    </row>
    <row r="53" spans="1:23" ht="12.75">
      <c r="A53" s="26">
        <v>654005</v>
      </c>
      <c r="B53" s="10" t="s">
        <v>340</v>
      </c>
      <c r="C53" s="10" t="s">
        <v>341</v>
      </c>
      <c r="D53" s="24">
        <v>2003</v>
      </c>
      <c r="E53" s="26" t="s">
        <v>377</v>
      </c>
      <c r="F53" s="4">
        <v>0</v>
      </c>
      <c r="G53" s="4">
        <f t="shared" si="6"/>
        <v>10</v>
      </c>
      <c r="H53" s="4">
        <v>0</v>
      </c>
      <c r="I53" s="5">
        <v>0</v>
      </c>
      <c r="J53" s="4">
        <v>0</v>
      </c>
      <c r="K53" s="4">
        <f t="shared" si="8"/>
        <v>10</v>
      </c>
      <c r="L53" s="4">
        <v>0</v>
      </c>
      <c r="M53" s="5">
        <v>0</v>
      </c>
      <c r="N53" s="4">
        <v>0</v>
      </c>
      <c r="O53" s="4">
        <f>SUM(10-(0+0)/2)</f>
        <v>10</v>
      </c>
      <c r="P53" s="4">
        <v>0</v>
      </c>
      <c r="Q53" s="5">
        <v>0</v>
      </c>
      <c r="R53" s="4">
        <v>0</v>
      </c>
      <c r="S53" s="4">
        <f t="shared" si="7"/>
        <v>10</v>
      </c>
      <c r="T53" s="4">
        <v>0</v>
      </c>
      <c r="U53" s="5">
        <v>0</v>
      </c>
      <c r="V53" s="5">
        <f t="shared" si="5"/>
        <v>0</v>
      </c>
      <c r="W53" s="20" t="s">
        <v>134</v>
      </c>
    </row>
    <row r="54" spans="1:23" ht="12.75">
      <c r="A54" s="26">
        <v>819258</v>
      </c>
      <c r="B54" s="10" t="s">
        <v>349</v>
      </c>
      <c r="C54" s="10" t="s">
        <v>350</v>
      </c>
      <c r="D54" s="24">
        <v>2004</v>
      </c>
      <c r="E54" s="26" t="s">
        <v>377</v>
      </c>
      <c r="F54" s="4">
        <v>0</v>
      </c>
      <c r="G54" s="4">
        <f t="shared" si="6"/>
        <v>10</v>
      </c>
      <c r="H54" s="4">
        <v>0</v>
      </c>
      <c r="I54" s="5">
        <v>0</v>
      </c>
      <c r="J54" s="4">
        <v>0</v>
      </c>
      <c r="K54" s="4">
        <f t="shared" si="8"/>
        <v>10</v>
      </c>
      <c r="L54" s="4">
        <v>0</v>
      </c>
      <c r="M54" s="5">
        <v>0</v>
      </c>
      <c r="N54" s="4">
        <v>0</v>
      </c>
      <c r="O54" s="4">
        <f>SUM(10-(0+0)/2)</f>
        <v>10</v>
      </c>
      <c r="P54" s="4">
        <v>0</v>
      </c>
      <c r="Q54" s="5">
        <v>0</v>
      </c>
      <c r="R54" s="4">
        <v>0</v>
      </c>
      <c r="S54" s="4">
        <f t="shared" si="7"/>
        <v>10</v>
      </c>
      <c r="T54" s="4">
        <v>0</v>
      </c>
      <c r="U54" s="5">
        <v>0</v>
      </c>
      <c r="V54" s="5">
        <f t="shared" si="5"/>
        <v>0</v>
      </c>
      <c r="W54" s="20" t="s">
        <v>135</v>
      </c>
    </row>
    <row r="55" spans="1:23" ht="12.75">
      <c r="A55" s="26">
        <v>576563</v>
      </c>
      <c r="B55" s="10" t="s">
        <v>371</v>
      </c>
      <c r="C55" s="10" t="s">
        <v>372</v>
      </c>
      <c r="D55" s="24">
        <v>2003</v>
      </c>
      <c r="E55" s="26" t="s">
        <v>211</v>
      </c>
      <c r="F55" s="47">
        <v>0</v>
      </c>
      <c r="G55" s="4">
        <f t="shared" si="6"/>
        <v>10</v>
      </c>
      <c r="H55" s="4">
        <v>0</v>
      </c>
      <c r="I55" s="5">
        <v>0</v>
      </c>
      <c r="J55" s="4">
        <v>0</v>
      </c>
      <c r="K55" s="4">
        <f t="shared" si="8"/>
        <v>10</v>
      </c>
      <c r="L55" s="4">
        <v>0</v>
      </c>
      <c r="M55" s="5">
        <v>0</v>
      </c>
      <c r="N55" s="4">
        <v>0</v>
      </c>
      <c r="O55" s="4">
        <f>SUM(10-(0+0)/2)</f>
        <v>10</v>
      </c>
      <c r="P55" s="4">
        <v>0</v>
      </c>
      <c r="Q55" s="5">
        <v>0</v>
      </c>
      <c r="R55" s="4">
        <v>0</v>
      </c>
      <c r="S55" s="4">
        <f t="shared" si="7"/>
        <v>10</v>
      </c>
      <c r="T55" s="4">
        <v>0</v>
      </c>
      <c r="U55" s="5">
        <v>0</v>
      </c>
      <c r="V55" s="5">
        <f t="shared" si="5"/>
        <v>0</v>
      </c>
      <c r="W55" s="20" t="s">
        <v>136</v>
      </c>
    </row>
    <row r="56" spans="1:23" ht="12.75">
      <c r="A56" s="26">
        <v>619839</v>
      </c>
      <c r="B56" s="10" t="s">
        <v>386</v>
      </c>
      <c r="C56" s="15" t="s">
        <v>387</v>
      </c>
      <c r="D56" s="24">
        <v>2004</v>
      </c>
      <c r="E56" s="26" t="s">
        <v>43</v>
      </c>
      <c r="F56" s="47">
        <v>0</v>
      </c>
      <c r="G56" s="4">
        <f t="shared" si="6"/>
        <v>10</v>
      </c>
      <c r="H56" s="4">
        <v>0</v>
      </c>
      <c r="I56" s="5">
        <v>0</v>
      </c>
      <c r="J56" s="4">
        <v>0</v>
      </c>
      <c r="K56" s="4">
        <f t="shared" si="8"/>
        <v>10</v>
      </c>
      <c r="L56" s="4">
        <v>0</v>
      </c>
      <c r="M56" s="5">
        <v>0</v>
      </c>
      <c r="N56" s="4">
        <v>0</v>
      </c>
      <c r="O56" s="4">
        <f>SUM(10-(0+0)/2)</f>
        <v>10</v>
      </c>
      <c r="P56" s="4">
        <v>0</v>
      </c>
      <c r="Q56" s="5">
        <v>0</v>
      </c>
      <c r="R56" s="4">
        <v>0</v>
      </c>
      <c r="S56" s="4">
        <f t="shared" si="7"/>
        <v>10</v>
      </c>
      <c r="T56" s="4">
        <v>0</v>
      </c>
      <c r="U56" s="5">
        <v>0</v>
      </c>
      <c r="V56" s="5">
        <f t="shared" si="5"/>
        <v>0</v>
      </c>
      <c r="W56" s="20" t="s">
        <v>137</v>
      </c>
    </row>
    <row r="57" spans="1:23" ht="12.75">
      <c r="A57" s="26">
        <v>789008</v>
      </c>
      <c r="B57" s="10" t="s">
        <v>390</v>
      </c>
      <c r="C57" s="49" t="s">
        <v>168</v>
      </c>
      <c r="D57" s="24">
        <v>2004</v>
      </c>
      <c r="E57" s="26" t="s">
        <v>62</v>
      </c>
      <c r="F57" s="4">
        <v>0</v>
      </c>
      <c r="G57" s="4">
        <f t="shared" si="6"/>
        <v>10</v>
      </c>
      <c r="H57" s="4">
        <v>0</v>
      </c>
      <c r="I57" s="5">
        <v>0</v>
      </c>
      <c r="J57" s="4">
        <v>0</v>
      </c>
      <c r="K57" s="4">
        <f t="shared" si="8"/>
        <v>10</v>
      </c>
      <c r="L57" s="4">
        <v>0</v>
      </c>
      <c r="M57" s="5">
        <v>0</v>
      </c>
      <c r="N57" s="4">
        <v>0</v>
      </c>
      <c r="O57" s="4">
        <f>SUM(10-(0+0)/2)</f>
        <v>10</v>
      </c>
      <c r="P57" s="4">
        <v>0</v>
      </c>
      <c r="Q57" s="5">
        <v>0</v>
      </c>
      <c r="R57" s="4">
        <v>0</v>
      </c>
      <c r="S57" s="4">
        <f t="shared" si="7"/>
        <v>10</v>
      </c>
      <c r="T57" s="4">
        <v>0</v>
      </c>
      <c r="U57" s="5">
        <v>0</v>
      </c>
      <c r="V57" s="5">
        <f t="shared" si="5"/>
        <v>0</v>
      </c>
      <c r="W57" s="20" t="s">
        <v>138</v>
      </c>
    </row>
    <row r="58" spans="1:5" ht="12.75">
      <c r="A58" s="26"/>
      <c r="B58" s="10"/>
      <c r="C58" s="12"/>
      <c r="D58" s="24"/>
      <c r="E58" s="10"/>
    </row>
    <row r="59" ht="12.75">
      <c r="A59" s="25"/>
    </row>
    <row r="60" ht="12.75">
      <c r="A60" s="25"/>
    </row>
    <row r="61" ht="12.75">
      <c r="A61" s="25"/>
    </row>
    <row r="62" ht="12.75">
      <c r="A62" s="25"/>
    </row>
  </sheetData>
  <sheetProtection/>
  <mergeCells count="4">
    <mergeCell ref="F6:I6"/>
    <mergeCell ref="J6:M6"/>
    <mergeCell ref="N6:Q6"/>
    <mergeCell ref="R6:U6"/>
  </mergeCells>
  <printOptions gridLines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Liedy</dc:creator>
  <cp:keywords/>
  <dc:description/>
  <cp:lastModifiedBy>Liedy</cp:lastModifiedBy>
  <cp:lastPrinted>2016-05-26T13:19:38Z</cp:lastPrinted>
  <dcterms:created xsi:type="dcterms:W3CDTF">2008-05-13T11:54:57Z</dcterms:created>
  <dcterms:modified xsi:type="dcterms:W3CDTF">2016-05-28T09:26:32Z</dcterms:modified>
  <cp:category/>
  <cp:version/>
  <cp:contentType/>
  <cp:contentStatus/>
</cp:coreProperties>
</file>